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2022\PREGÃO\005 - LIMPEZA E CONSERVAÇÃO\"/>
    </mc:Choice>
  </mc:AlternateContent>
  <xr:revisionPtr revIDLastSave="0" documentId="13_ncr:1_{CCA12F68-8222-4D59-91BA-221B0C68B565}" xr6:coauthVersionLast="47" xr6:coauthVersionMax="47" xr10:uidLastSave="{00000000-0000-0000-0000-000000000000}"/>
  <bookViews>
    <workbookView xWindow="-120" yWindow="-120" windowWidth="25440" windowHeight="15390" tabRatio="827" xr2:uid="{00000000-000D-0000-FFFF-FFFF00000000}"/>
  </bookViews>
  <sheets>
    <sheet name="ASG" sheetId="3" r:id="rId1"/>
    <sheet name="COPEIRA" sheetId="14" state="hidden" r:id="rId2"/>
    <sheet name="RECEPCIONISTA" sheetId="17" state="hidden" r:id="rId3"/>
    <sheet name="PORTEIRO" sheetId="11" r:id="rId4"/>
    <sheet name="ENCARREGADO" sheetId="12" r:id="rId5"/>
    <sheet name="MATERIAIS" sheetId="19" r:id="rId6"/>
    <sheet name="RESUMO" sheetId="10" state="hidden" r:id="rId7"/>
    <sheet name="PLANILHA_RESUMO" sheetId="29" r:id="rId8"/>
    <sheet name="Plan1" sheetId="30" r:id="rId9"/>
    <sheet name="ÁREA_M²" sheetId="26" r:id="rId10"/>
    <sheet name="JARDINEIRO" sheetId="20" state="hidden" r:id="rId11"/>
    <sheet name="portaria diurno" sheetId="23" state="hidden" r:id="rId12"/>
    <sheet name="portaria noturno" sheetId="24" state="hidden" r:id="rId13"/>
    <sheet name="Plan5" sheetId="25" state="hidden" r:id="rId14"/>
  </sheets>
  <externalReferences>
    <externalReference r:id="rId15"/>
    <externalReference r:id="rId16"/>
  </externalReferences>
  <definedNames>
    <definedName name="_xlnm.Print_Area" localSheetId="0">ASG!$A$1:$D$132</definedName>
    <definedName name="_xlnm.Print_Area" localSheetId="1">COPEIRA!$A$1:$D$133</definedName>
    <definedName name="_xlnm.Print_Area" localSheetId="4">ENCARREGADO!$A$2:$D$128</definedName>
    <definedName name="_xlnm.Print_Area" localSheetId="3">PORTEIRO!$A$1:$D$132</definedName>
    <definedName name="_xlnm.Print_Area" localSheetId="6">RESUMO!$A$1:$F$19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9" l="1"/>
  <c r="F92" i="19"/>
  <c r="F90" i="19"/>
  <c r="F88" i="19"/>
  <c r="F86" i="19"/>
  <c r="F84" i="19"/>
  <c r="F82" i="19"/>
  <c r="F80" i="19"/>
  <c r="F78" i="19"/>
  <c r="F76" i="19"/>
  <c r="F74" i="19"/>
  <c r="F72" i="19"/>
  <c r="F70" i="19"/>
  <c r="F68" i="19"/>
  <c r="F66" i="19"/>
  <c r="F64" i="19"/>
  <c r="F58" i="19"/>
  <c r="F56" i="19"/>
  <c r="F54" i="19"/>
  <c r="F52" i="19"/>
  <c r="F50" i="19"/>
  <c r="F48" i="19"/>
  <c r="F46" i="19"/>
  <c r="F44" i="19"/>
  <c r="F42" i="19"/>
  <c r="F40" i="19"/>
  <c r="F38" i="19"/>
  <c r="F36" i="19"/>
  <c r="F34" i="19"/>
  <c r="F32" i="19"/>
  <c r="F30" i="19"/>
  <c r="F28" i="19"/>
  <c r="F26" i="19"/>
  <c r="F24" i="19"/>
  <c r="F22" i="19"/>
  <c r="F20" i="19"/>
  <c r="F18" i="19"/>
  <c r="F16" i="19"/>
  <c r="F14" i="19"/>
  <c r="F12" i="19"/>
  <c r="F10" i="19"/>
  <c r="F8" i="19"/>
  <c r="F6" i="19"/>
  <c r="F4" i="19"/>
  <c r="F73" i="26"/>
  <c r="F59" i="19" l="1"/>
  <c r="F95" i="19" s="1"/>
  <c r="D19" i="26"/>
  <c r="D17" i="26"/>
  <c r="D26" i="26"/>
  <c r="D28" i="26"/>
  <c r="D21" i="26" l="1"/>
  <c r="F78" i="26" l="1"/>
  <c r="D69" i="26"/>
  <c r="J68" i="26" s="1"/>
  <c r="H68" i="26"/>
  <c r="J67" i="26"/>
  <c r="H67" i="26"/>
  <c r="J59" i="26"/>
  <c r="H59" i="26"/>
  <c r="J58" i="26"/>
  <c r="H58" i="26"/>
  <c r="D48" i="26"/>
  <c r="D46" i="26"/>
  <c r="D37" i="26"/>
  <c r="D35" i="26"/>
  <c r="D10" i="26"/>
  <c r="D8" i="26"/>
  <c r="H14" i="29"/>
  <c r="G7" i="29"/>
  <c r="H7" i="29" s="1"/>
  <c r="G6" i="29"/>
  <c r="H6" i="29" s="1"/>
  <c r="G5" i="29"/>
  <c r="H4" i="29"/>
  <c r="G8" i="29" l="1"/>
  <c r="E68" i="26"/>
  <c r="G68" i="26" s="1"/>
  <c r="E66" i="26"/>
  <c r="G66" i="26" s="1"/>
  <c r="D30" i="26"/>
  <c r="G75" i="26" s="1"/>
  <c r="H75" i="26" s="1"/>
  <c r="D39" i="26"/>
  <c r="G76" i="26" s="1"/>
  <c r="H76" i="26" s="1"/>
  <c r="E57" i="26"/>
  <c r="G57" i="26" s="1"/>
  <c r="D50" i="26"/>
  <c r="G78" i="26" s="1"/>
  <c r="H78" i="26" s="1"/>
  <c r="H79" i="26" s="1"/>
  <c r="E59" i="26"/>
  <c r="G59" i="26" s="1"/>
  <c r="D12" i="26"/>
  <c r="H5" i="29"/>
  <c r="H8" i="29" s="1"/>
  <c r="G70" i="26" l="1"/>
  <c r="G81" i="26" s="1"/>
  <c r="H81" i="26" s="1"/>
  <c r="G73" i="26"/>
  <c r="H73" i="26" s="1"/>
  <c r="H74" i="26"/>
  <c r="G61" i="26"/>
  <c r="G80" i="26" s="1"/>
  <c r="H80" i="26" s="1"/>
  <c r="F16" i="12"/>
  <c r="D52" i="17"/>
  <c r="D52" i="14"/>
  <c r="H51" i="3"/>
  <c r="D55" i="24"/>
  <c r="C108" i="24"/>
  <c r="C107" i="24"/>
  <c r="D101" i="24"/>
  <c r="D99" i="24"/>
  <c r="B55" i="24"/>
  <c r="D54" i="24"/>
  <c r="B54" i="24"/>
  <c r="D53" i="24"/>
  <c r="B53" i="24"/>
  <c r="D52" i="24"/>
  <c r="C41" i="24"/>
  <c r="C47" i="24" s="1"/>
  <c r="D89" i="24"/>
  <c r="D94" i="24" s="1"/>
  <c r="C15" i="24"/>
  <c r="F24" i="24" s="1"/>
  <c r="G24" i="24" s="1"/>
  <c r="D24" i="24" s="1"/>
  <c r="C13" i="24"/>
  <c r="C4" i="24"/>
  <c r="D103" i="24" l="1"/>
  <c r="D121" i="24" s="1"/>
  <c r="H82" i="26"/>
  <c r="H77" i="26"/>
  <c r="D21" i="24"/>
  <c r="G25" i="24"/>
  <c r="H25" i="24" s="1"/>
  <c r="D25" i="24" s="1"/>
  <c r="D27" i="24" s="1"/>
  <c r="H83" i="26" l="1"/>
  <c r="J87" i="26" s="1"/>
  <c r="H87" i="26" s="1"/>
  <c r="D28" i="24"/>
  <c r="D117" i="24"/>
  <c r="D79" i="24"/>
  <c r="D72" i="24"/>
  <c r="D80" i="24"/>
  <c r="D81" i="24"/>
  <c r="D78" i="24"/>
  <c r="D70" i="24"/>
  <c r="D71" i="24" s="1"/>
  <c r="D82" i="24"/>
  <c r="D67" i="24"/>
  <c r="D33" i="24"/>
  <c r="D34" i="24"/>
  <c r="E88" i="11"/>
  <c r="E52" i="11"/>
  <c r="H86" i="26" l="1"/>
  <c r="H85" i="26"/>
  <c r="D35" i="24"/>
  <c r="D60" i="24" s="1"/>
  <c r="D68" i="24"/>
  <c r="D69" i="24"/>
  <c r="D84" i="24"/>
  <c r="D93" i="24" s="1"/>
  <c r="D95" i="24" s="1"/>
  <c r="D120" i="24" s="1"/>
  <c r="D181" i="11"/>
  <c r="B181" i="11"/>
  <c r="B180" i="11"/>
  <c r="G39" i="24" l="1"/>
  <c r="D39" i="24" s="1"/>
  <c r="D73" i="24"/>
  <c r="D119" i="24" s="1"/>
  <c r="D101" i="11"/>
  <c r="D231" i="11" s="1"/>
  <c r="D228" i="11"/>
  <c r="D55" i="11"/>
  <c r="D54" i="11"/>
  <c r="D53" i="11"/>
  <c r="D230" i="11"/>
  <c r="C142" i="11"/>
  <c r="D101" i="23"/>
  <c r="D99" i="23"/>
  <c r="D55" i="23"/>
  <c r="D54" i="23"/>
  <c r="D53" i="23"/>
  <c r="D52" i="23"/>
  <c r="C108" i="23"/>
  <c r="C107" i="23"/>
  <c r="B55" i="23"/>
  <c r="B54" i="23"/>
  <c r="B53" i="23"/>
  <c r="C41" i="23"/>
  <c r="C47" i="23" s="1"/>
  <c r="C15" i="23"/>
  <c r="D21" i="23" s="1"/>
  <c r="F21" i="23" s="1"/>
  <c r="C13" i="23"/>
  <c r="C4" i="23"/>
  <c r="D11" i="20"/>
  <c r="D43" i="24" l="1"/>
  <c r="D42" i="24"/>
  <c r="D45" i="24"/>
  <c r="D41" i="24"/>
  <c r="D46" i="24"/>
  <c r="D44" i="24"/>
  <c r="D40" i="24"/>
  <c r="D232" i="11"/>
  <c r="D250" i="11" s="1"/>
  <c r="E54" i="11"/>
  <c r="D183" i="11"/>
  <c r="H24" i="23"/>
  <c r="I25" i="23" s="1"/>
  <c r="E55" i="11"/>
  <c r="D184" i="11"/>
  <c r="E53" i="11"/>
  <c r="D182" i="11"/>
  <c r="D103" i="23"/>
  <c r="D121" i="23" s="1"/>
  <c r="D99" i="20"/>
  <c r="C108" i="20"/>
  <c r="C107" i="20"/>
  <c r="D89" i="20"/>
  <c r="D94" i="20" s="1"/>
  <c r="D55" i="20"/>
  <c r="B55" i="20"/>
  <c r="D54" i="20"/>
  <c r="B54" i="20"/>
  <c r="D53" i="20"/>
  <c r="B53" i="20"/>
  <c r="D52" i="20"/>
  <c r="C41" i="20"/>
  <c r="C47" i="20" s="1"/>
  <c r="D21" i="20"/>
  <c r="C13" i="20"/>
  <c r="C6" i="20"/>
  <c r="C5" i="20"/>
  <c r="C4" i="20"/>
  <c r="C4" i="14"/>
  <c r="C4" i="17" s="1"/>
  <c r="C16" i="12"/>
  <c r="C107" i="12"/>
  <c r="C106" i="12"/>
  <c r="D102" i="12"/>
  <c r="D120" i="12" s="1"/>
  <c r="D88" i="12"/>
  <c r="D93" i="12" s="1"/>
  <c r="D54" i="12"/>
  <c r="B54" i="12"/>
  <c r="D53" i="12"/>
  <c r="B53" i="12"/>
  <c r="C41" i="12"/>
  <c r="C47" i="12" s="1"/>
  <c r="D21" i="12"/>
  <c r="C108" i="11"/>
  <c r="C237" i="11" s="1"/>
  <c r="C107" i="11"/>
  <c r="C236" i="11" s="1"/>
  <c r="D103" i="11"/>
  <c r="D121" i="11" s="1"/>
  <c r="B55" i="11"/>
  <c r="B184" i="11" s="1"/>
  <c r="B54" i="11"/>
  <c r="B183" i="11" s="1"/>
  <c r="B53" i="11"/>
  <c r="B182" i="11" s="1"/>
  <c r="C41" i="11"/>
  <c r="C108" i="17"/>
  <c r="C107" i="17"/>
  <c r="D99" i="17"/>
  <c r="D103" i="17" s="1"/>
  <c r="D121" i="17" s="1"/>
  <c r="D89" i="17"/>
  <c r="D94" i="17" s="1"/>
  <c r="B55" i="17"/>
  <c r="D54" i="17"/>
  <c r="B54" i="17"/>
  <c r="D53" i="17"/>
  <c r="B53" i="17"/>
  <c r="C41" i="17"/>
  <c r="C47" i="17" s="1"/>
  <c r="D21" i="17"/>
  <c r="D28" i="17" s="1"/>
  <c r="D79" i="17" s="1"/>
  <c r="H118" i="3"/>
  <c r="H117" i="3"/>
  <c r="C15" i="14"/>
  <c r="D21" i="14" s="1"/>
  <c r="C5" i="14"/>
  <c r="C5" i="17" s="1"/>
  <c r="C5" i="24" s="1"/>
  <c r="H52" i="3"/>
  <c r="D51" i="23" s="1"/>
  <c r="D56" i="23" s="1"/>
  <c r="D62" i="23" s="1"/>
  <c r="C6" i="14"/>
  <c r="C6" i="17" s="1"/>
  <c r="C6" i="24" s="1"/>
  <c r="D47" i="24" l="1"/>
  <c r="D61" i="24" s="1"/>
  <c r="J25" i="23"/>
  <c r="C47" i="11"/>
  <c r="C170" i="11"/>
  <c r="C176" i="11" s="1"/>
  <c r="I24" i="23"/>
  <c r="D27" i="23" s="1"/>
  <c r="D88" i="23"/>
  <c r="D89" i="23" s="1"/>
  <c r="D94" i="23" s="1"/>
  <c r="D51" i="24"/>
  <c r="D56" i="24" s="1"/>
  <c r="D62" i="24" s="1"/>
  <c r="D63" i="24" s="1"/>
  <c r="D118" i="24" s="1"/>
  <c r="D122" i="24" s="1"/>
  <c r="C6" i="11"/>
  <c r="C6" i="23"/>
  <c r="C5" i="11"/>
  <c r="C134" i="11" s="1"/>
  <c r="C5" i="23"/>
  <c r="D28" i="23"/>
  <c r="D51" i="20"/>
  <c r="D56" i="20" s="1"/>
  <c r="D62" i="20" s="1"/>
  <c r="D28" i="20"/>
  <c r="D51" i="17"/>
  <c r="D55" i="17"/>
  <c r="D51" i="14"/>
  <c r="D55" i="12"/>
  <c r="D61" i="12" s="1"/>
  <c r="D28" i="12"/>
  <c r="D78" i="12" s="1"/>
  <c r="D34" i="17"/>
  <c r="D33" i="17"/>
  <c r="D67" i="17"/>
  <c r="D82" i="17"/>
  <c r="D70" i="17"/>
  <c r="D71" i="17" s="1"/>
  <c r="D78" i="17"/>
  <c r="D81" i="17"/>
  <c r="D117" i="17"/>
  <c r="D80" i="17"/>
  <c r="D72" i="17"/>
  <c r="D99" i="14"/>
  <c r="C144" i="11" l="1"/>
  <c r="D21" i="11"/>
  <c r="G78" i="24"/>
  <c r="G107" i="24" s="1"/>
  <c r="D107" i="24" s="1"/>
  <c r="H108" i="24" s="1"/>
  <c r="C6" i="12"/>
  <c r="C135" i="11"/>
  <c r="D81" i="23"/>
  <c r="D78" i="23"/>
  <c r="D70" i="23"/>
  <c r="D71" i="23" s="1"/>
  <c r="D82" i="23"/>
  <c r="D67" i="23"/>
  <c r="D33" i="23"/>
  <c r="D34" i="23"/>
  <c r="D117" i="23"/>
  <c r="D79" i="23"/>
  <c r="D72" i="23"/>
  <c r="D80" i="23"/>
  <c r="D102" i="20"/>
  <c r="D100" i="14"/>
  <c r="D79" i="20"/>
  <c r="D72" i="20"/>
  <c r="D34" i="20"/>
  <c r="D33" i="20"/>
  <c r="D80" i="20"/>
  <c r="D67" i="20"/>
  <c r="D117" i="20"/>
  <c r="D81" i="20"/>
  <c r="D78" i="20"/>
  <c r="D70" i="20"/>
  <c r="D71" i="20" s="1"/>
  <c r="D82" i="20"/>
  <c r="D69" i="12"/>
  <c r="D70" i="12" s="1"/>
  <c r="D79" i="12"/>
  <c r="D56" i="17"/>
  <c r="D62" i="17" s="1"/>
  <c r="D35" i="17"/>
  <c r="D60" i="17" s="1"/>
  <c r="F24" i="11"/>
  <c r="D34" i="12"/>
  <c r="D77" i="12"/>
  <c r="D33" i="12"/>
  <c r="D71" i="12"/>
  <c r="D80" i="12"/>
  <c r="D66" i="12"/>
  <c r="D68" i="12" s="1"/>
  <c r="D116" i="12"/>
  <c r="D81" i="12"/>
  <c r="D68" i="17"/>
  <c r="D69" i="17"/>
  <c r="D84" i="17"/>
  <c r="D93" i="17" s="1"/>
  <c r="D95" i="17" s="1"/>
  <c r="D120" i="17" s="1"/>
  <c r="I106" i="3"/>
  <c r="E28" i="11" l="1"/>
  <c r="D56" i="11"/>
  <c r="D62" i="11" s="1"/>
  <c r="D150" i="11"/>
  <c r="F153" i="11"/>
  <c r="D108" i="24"/>
  <c r="D68" i="23"/>
  <c r="D69" i="23"/>
  <c r="D84" i="23"/>
  <c r="D93" i="23" s="1"/>
  <c r="D95" i="23" s="1"/>
  <c r="D120" i="23" s="1"/>
  <c r="D35" i="23"/>
  <c r="D35" i="20"/>
  <c r="G39" i="20" s="1"/>
  <c r="D68" i="20"/>
  <c r="D69" i="20"/>
  <c r="D84" i="20"/>
  <c r="D93" i="20" s="1"/>
  <c r="D95" i="20" s="1"/>
  <c r="D120" i="20" s="1"/>
  <c r="D35" i="12"/>
  <c r="D59" i="12" s="1"/>
  <c r="D83" i="12"/>
  <c r="D92" i="12" s="1"/>
  <c r="D94" i="12" s="1"/>
  <c r="D119" i="12" s="1"/>
  <c r="D67" i="12"/>
  <c r="D72" i="12" s="1"/>
  <c r="D118" i="12" s="1"/>
  <c r="G39" i="17"/>
  <c r="D44" i="17" s="1"/>
  <c r="D73" i="17"/>
  <c r="D119" i="17" s="1"/>
  <c r="G25" i="11"/>
  <c r="H25" i="11" s="1"/>
  <c r="D25" i="11" s="1"/>
  <c r="D89" i="11"/>
  <c r="D94" i="11" s="1"/>
  <c r="D217" i="11" s="1"/>
  <c r="D218" i="11" s="1"/>
  <c r="D223" i="11" s="1"/>
  <c r="G24" i="11"/>
  <c r="D24" i="11" s="1"/>
  <c r="I108" i="3"/>
  <c r="D73" i="20" l="1"/>
  <c r="D119" i="20" s="1"/>
  <c r="E51" i="11"/>
  <c r="D180" i="11"/>
  <c r="D185" i="11" s="1"/>
  <c r="D191" i="11" s="1"/>
  <c r="G154" i="11"/>
  <c r="H154" i="11" s="1"/>
  <c r="G153" i="11"/>
  <c r="D156" i="11" s="1"/>
  <c r="D157" i="11" s="1"/>
  <c r="D73" i="23"/>
  <c r="D119" i="23" s="1"/>
  <c r="G116" i="24"/>
  <c r="D60" i="23"/>
  <c r="G39" i="23"/>
  <c r="D60" i="20"/>
  <c r="D43" i="20"/>
  <c r="D40" i="20"/>
  <c r="D42" i="20"/>
  <c r="D44" i="20"/>
  <c r="D45" i="20"/>
  <c r="D41" i="20"/>
  <c r="D39" i="20"/>
  <c r="D46" i="20"/>
  <c r="G39" i="12"/>
  <c r="D45" i="12" s="1"/>
  <c r="D45" i="17"/>
  <c r="D43" i="17"/>
  <c r="D46" i="17"/>
  <c r="D41" i="17"/>
  <c r="D40" i="17"/>
  <c r="D42" i="17"/>
  <c r="D39" i="17"/>
  <c r="D27" i="11"/>
  <c r="D28" i="11" s="1"/>
  <c r="C13" i="17"/>
  <c r="C5" i="12"/>
  <c r="C108" i="14"/>
  <c r="C107" i="14"/>
  <c r="D89" i="14"/>
  <c r="D94" i="14" s="1"/>
  <c r="D55" i="14"/>
  <c r="B55" i="14"/>
  <c r="D54" i="14"/>
  <c r="B54" i="14"/>
  <c r="D53" i="14"/>
  <c r="B53" i="14"/>
  <c r="C41" i="14"/>
  <c r="C47" i="14" s="1"/>
  <c r="C13" i="14"/>
  <c r="F121" i="3"/>
  <c r="C13" i="11"/>
  <c r="D199" i="11" l="1"/>
  <c r="D246" i="11"/>
  <c r="D207" i="11"/>
  <c r="D201" i="11"/>
  <c r="D163" i="11"/>
  <c r="D162" i="11"/>
  <c r="D164" i="11" s="1"/>
  <c r="D211" i="11"/>
  <c r="D196" i="11"/>
  <c r="D210" i="11"/>
  <c r="D209" i="11"/>
  <c r="D208" i="11"/>
  <c r="F117" i="24"/>
  <c r="G118" i="24" s="1"/>
  <c r="D112" i="24" s="1"/>
  <c r="F117" i="23"/>
  <c r="F117" i="20"/>
  <c r="C4" i="12"/>
  <c r="C133" i="11"/>
  <c r="D200" i="11"/>
  <c r="D41" i="23"/>
  <c r="D46" i="23"/>
  <c r="D42" i="23"/>
  <c r="D43" i="23"/>
  <c r="D40" i="23"/>
  <c r="D44" i="23"/>
  <c r="D45" i="23"/>
  <c r="D39" i="23"/>
  <c r="D47" i="20"/>
  <c r="D61" i="20" s="1"/>
  <c r="D63" i="20" s="1"/>
  <c r="G78" i="20" s="1"/>
  <c r="D46" i="12"/>
  <c r="D43" i="12"/>
  <c r="D44" i="12"/>
  <c r="D40" i="12"/>
  <c r="D41" i="12"/>
  <c r="D39" i="12"/>
  <c r="D42" i="12"/>
  <c r="D47" i="17"/>
  <c r="D61" i="17" s="1"/>
  <c r="D63" i="17" s="1"/>
  <c r="G78" i="17" s="1"/>
  <c r="G107" i="17" s="1"/>
  <c r="F116" i="12"/>
  <c r="F117" i="17"/>
  <c r="F117" i="11"/>
  <c r="F246" i="11" s="1"/>
  <c r="D67" i="11"/>
  <c r="D80" i="11"/>
  <c r="D78" i="11"/>
  <c r="D79" i="11"/>
  <c r="D70" i="11"/>
  <c r="D71" i="11" s="1"/>
  <c r="D81" i="11"/>
  <c r="D82" i="11"/>
  <c r="D72" i="11"/>
  <c r="D34" i="11"/>
  <c r="D117" i="11"/>
  <c r="D33" i="11"/>
  <c r="F117" i="14"/>
  <c r="D103" i="14"/>
  <c r="D121" i="14" s="1"/>
  <c r="D56" i="14"/>
  <c r="D62" i="14" s="1"/>
  <c r="D28" i="14"/>
  <c r="D213" i="11" l="1"/>
  <c r="D222" i="11" s="1"/>
  <c r="D224" i="11" s="1"/>
  <c r="D249" i="11" s="1"/>
  <c r="D111" i="24"/>
  <c r="D110" i="24"/>
  <c r="D113" i="24" s="1"/>
  <c r="D123" i="24" s="1"/>
  <c r="D124" i="24" s="1"/>
  <c r="H138" i="24" s="1"/>
  <c r="G168" i="11"/>
  <c r="D189" i="11"/>
  <c r="D197" i="11"/>
  <c r="D198" i="11"/>
  <c r="D47" i="23"/>
  <c r="D61" i="23" s="1"/>
  <c r="D63" i="23" s="1"/>
  <c r="G78" i="23" s="1"/>
  <c r="G107" i="23" s="1"/>
  <c r="D118" i="20"/>
  <c r="D47" i="12"/>
  <c r="D60" i="12" s="1"/>
  <c r="D62" i="12" s="1"/>
  <c r="D117" i="12" s="1"/>
  <c r="D121" i="12" s="1"/>
  <c r="D118" i="17"/>
  <c r="D122" i="17" s="1"/>
  <c r="D84" i="11"/>
  <c r="D69" i="11"/>
  <c r="D68" i="11"/>
  <c r="D35" i="11"/>
  <c r="G39" i="11" s="1"/>
  <c r="D79" i="14"/>
  <c r="D80" i="14"/>
  <c r="D81" i="14"/>
  <c r="D82" i="14"/>
  <c r="D78" i="14"/>
  <c r="D107" i="17"/>
  <c r="H108" i="17" s="1"/>
  <c r="D117" i="14"/>
  <c r="D70" i="14"/>
  <c r="D71" i="14" s="1"/>
  <c r="D67" i="14"/>
  <c r="D33" i="14"/>
  <c r="D72" i="14"/>
  <c r="D34" i="14"/>
  <c r="C13" i="3"/>
  <c r="D202" i="11" l="1"/>
  <c r="D171" i="11"/>
  <c r="D168" i="11"/>
  <c r="D170" i="11"/>
  <c r="D175" i="11"/>
  <c r="D173" i="11"/>
  <c r="D169" i="11"/>
  <c r="D174" i="11"/>
  <c r="D172" i="11"/>
  <c r="D93" i="11"/>
  <c r="D95" i="11" s="1"/>
  <c r="D120" i="11" s="1"/>
  <c r="E84" i="11"/>
  <c r="J124" i="24"/>
  <c r="J126" i="24" s="1"/>
  <c r="D118" i="23"/>
  <c r="D122" i="23" s="1"/>
  <c r="D107" i="23"/>
  <c r="H108" i="23" s="1"/>
  <c r="G77" i="12"/>
  <c r="G106" i="12" s="1"/>
  <c r="D106" i="12" s="1"/>
  <c r="H107" i="12" s="1"/>
  <c r="D107" i="12" s="1"/>
  <c r="D73" i="11"/>
  <c r="D60" i="11"/>
  <c r="D108" i="17"/>
  <c r="G116" i="17" s="1"/>
  <c r="G118" i="17" s="1"/>
  <c r="D69" i="14"/>
  <c r="D68" i="14"/>
  <c r="D35" i="14"/>
  <c r="D89" i="3"/>
  <c r="D94" i="3" s="1"/>
  <c r="C47" i="3"/>
  <c r="D21" i="3"/>
  <c r="D176" i="11" l="1"/>
  <c r="D190" i="11" s="1"/>
  <c r="D192" i="11" s="1"/>
  <c r="D247" i="11" s="1"/>
  <c r="D119" i="11"/>
  <c r="E73" i="11"/>
  <c r="D248" i="11"/>
  <c r="D108" i="23"/>
  <c r="D43" i="11"/>
  <c r="D45" i="11"/>
  <c r="D40" i="11"/>
  <c r="D42" i="11"/>
  <c r="D46" i="11"/>
  <c r="D39" i="11"/>
  <c r="D44" i="11"/>
  <c r="D41" i="11"/>
  <c r="G115" i="12"/>
  <c r="G117" i="12" s="1"/>
  <c r="D110" i="17"/>
  <c r="D111" i="17"/>
  <c r="D112" i="17"/>
  <c r="D73" i="14"/>
  <c r="D119" i="14" s="1"/>
  <c r="D56" i="3"/>
  <c r="D62" i="3" s="1"/>
  <c r="D60" i="14"/>
  <c r="G39" i="14"/>
  <c r="D39" i="14" s="1"/>
  <c r="D28" i="3"/>
  <c r="G207" i="11" l="1"/>
  <c r="G236" i="11" s="1"/>
  <c r="D236" i="11" s="1"/>
  <c r="H237" i="11" s="1"/>
  <c r="D251" i="11"/>
  <c r="G116" i="23"/>
  <c r="G118" i="23" s="1"/>
  <c r="D117" i="3"/>
  <c r="D81" i="3"/>
  <c r="D82" i="3"/>
  <c r="D78" i="3"/>
  <c r="D79" i="3"/>
  <c r="D69" i="3"/>
  <c r="D80" i="3"/>
  <c r="D72" i="3"/>
  <c r="E78" i="3"/>
  <c r="D47" i="11"/>
  <c r="D61" i="11" s="1"/>
  <c r="D63" i="11" s="1"/>
  <c r="D113" i="17"/>
  <c r="D123" i="17" s="1"/>
  <c r="D124" i="17" s="1"/>
  <c r="D109" i="12"/>
  <c r="D110" i="12"/>
  <c r="D111" i="12"/>
  <c r="D44" i="14"/>
  <c r="D45" i="14"/>
  <c r="D41" i="14"/>
  <c r="D46" i="14"/>
  <c r="D42" i="14"/>
  <c r="D43" i="14"/>
  <c r="D40" i="14"/>
  <c r="D70" i="3"/>
  <c r="D71" i="3" s="1"/>
  <c r="D67" i="3"/>
  <c r="D34" i="3"/>
  <c r="D33" i="3"/>
  <c r="D237" i="11" l="1"/>
  <c r="G245" i="11" s="1"/>
  <c r="G247" i="11" s="1"/>
  <c r="D110" i="23"/>
  <c r="D111" i="23"/>
  <c r="D112" i="23"/>
  <c r="D118" i="11"/>
  <c r="D122" i="11" s="1"/>
  <c r="G78" i="11"/>
  <c r="G107" i="11" s="1"/>
  <c r="D112" i="12"/>
  <c r="D122" i="12" s="1"/>
  <c r="D123" i="12" s="1"/>
  <c r="D47" i="14"/>
  <c r="D61" i="14" s="1"/>
  <c r="D63" i="14" s="1"/>
  <c r="D35" i="3"/>
  <c r="D60" i="3" s="1"/>
  <c r="D68" i="3"/>
  <c r="D107" i="11" l="1"/>
  <c r="H108" i="11" s="1"/>
  <c r="D108" i="11" s="1"/>
  <c r="I127" i="24"/>
  <c r="D136" i="24"/>
  <c r="D240" i="11"/>
  <c r="D239" i="11"/>
  <c r="D241" i="11"/>
  <c r="D113" i="23"/>
  <c r="D123" i="23" s="1"/>
  <c r="D124" i="23" s="1"/>
  <c r="D118" i="14"/>
  <c r="G78" i="14"/>
  <c r="F39" i="3"/>
  <c r="D46" i="3" s="1"/>
  <c r="D73" i="3"/>
  <c r="D119" i="3" s="1"/>
  <c r="D242" i="11" l="1"/>
  <c r="D252" i="11" s="1"/>
  <c r="D253" i="11" s="1"/>
  <c r="D136" i="23"/>
  <c r="D137" i="23" s="1"/>
  <c r="J124" i="23"/>
  <c r="J126" i="23" s="1"/>
  <c r="D137" i="24"/>
  <c r="H141" i="24"/>
  <c r="D45" i="3"/>
  <c r="D41" i="3"/>
  <c r="G116" i="11"/>
  <c r="G118" i="11" s="1"/>
  <c r="D42" i="3"/>
  <c r="D40" i="3"/>
  <c r="D43" i="3"/>
  <c r="D44" i="3"/>
  <c r="D39" i="3"/>
  <c r="D254" i="11" l="1"/>
  <c r="F254" i="11" s="1"/>
  <c r="G254" i="11" s="1"/>
  <c r="E12" i="10"/>
  <c r="D112" i="11"/>
  <c r="D111" i="11"/>
  <c r="D110" i="11"/>
  <c r="D47" i="3"/>
  <c r="D61" i="3" s="1"/>
  <c r="D63" i="3" s="1"/>
  <c r="F78" i="3" s="1"/>
  <c r="D84" i="14"/>
  <c r="D93" i="14" s="1"/>
  <c r="D95" i="14" s="1"/>
  <c r="D120" i="14" s="1"/>
  <c r="D122" i="14" s="1"/>
  <c r="D113" i="11" l="1"/>
  <c r="D123" i="11" s="1"/>
  <c r="D124" i="11" s="1"/>
  <c r="E13" i="10" s="1"/>
  <c r="F13" i="10" s="1"/>
  <c r="D118" i="3"/>
  <c r="G107" i="14"/>
  <c r="D107" i="14" s="1"/>
  <c r="H108" i="14" s="1"/>
  <c r="D139" i="23" l="1"/>
  <c r="D140" i="23" s="1"/>
  <c r="D125" i="11"/>
  <c r="D108" i="14"/>
  <c r="G116" i="14" s="1"/>
  <c r="G118" i="14" s="1"/>
  <c r="D84" i="3"/>
  <c r="H74" i="3" s="1"/>
  <c r="G74" i="3" s="1"/>
  <c r="D110" i="14" l="1"/>
  <c r="D111" i="14"/>
  <c r="D112" i="14"/>
  <c r="D93" i="3"/>
  <c r="D95" i="3" s="1"/>
  <c r="D120" i="3" s="1"/>
  <c r="H91" i="3"/>
  <c r="I91" i="3" s="1"/>
  <c r="D113" i="14" l="1"/>
  <c r="D123" i="14" s="1"/>
  <c r="D124" i="14" s="1"/>
  <c r="E14" i="10"/>
  <c r="F14" i="10" s="1"/>
  <c r="F12" i="10" l="1"/>
  <c r="H113" i="3" l="1"/>
  <c r="I107" i="3" s="1"/>
  <c r="I109" i="3" s="1"/>
  <c r="I110" i="3" s="1"/>
  <c r="I112" i="3" s="1"/>
  <c r="D103" i="3" l="1"/>
  <c r="D100" i="20"/>
  <c r="D103" i="20" s="1"/>
  <c r="D121" i="3" l="1"/>
  <c r="D122" i="3" s="1"/>
  <c r="G107" i="3"/>
  <c r="G107" i="20"/>
  <c r="D121" i="20"/>
  <c r="D122" i="20" s="1"/>
  <c r="D107" i="3" l="1"/>
  <c r="G108" i="3" s="1"/>
  <c r="D107" i="20"/>
  <c r="D108" i="3" l="1"/>
  <c r="H108" i="20"/>
  <c r="D108" i="20" l="1"/>
  <c r="G120" i="3"/>
  <c r="G121" i="3" s="1"/>
  <c r="G116" i="20" l="1"/>
  <c r="G118" i="20" s="1"/>
  <c r="D110" i="3"/>
  <c r="D111" i="3"/>
  <c r="D112" i="3"/>
  <c r="D112" i="20" l="1"/>
  <c r="D110" i="20"/>
  <c r="D111" i="20"/>
  <c r="D113" i="3"/>
  <c r="D123" i="3" s="1"/>
  <c r="D124" i="3" s="1"/>
  <c r="E11" i="10" s="1"/>
  <c r="F11" i="10" s="1"/>
  <c r="F15" i="10" s="1"/>
  <c r="H15" i="10" l="1"/>
  <c r="F17" i="10"/>
  <c r="D113" i="20"/>
  <c r="D123" i="20" s="1"/>
  <c r="D12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000-000001000000}">
      <text>
        <r>
          <rPr>
            <sz val="9"/>
            <rFont val="Tahoma"/>
            <family val="2"/>
          </rPr>
          <t xml:space="preserve">Fómula: (1/12) = 0,0833 = 8,33%
</t>
        </r>
      </text>
    </comment>
    <comment ref="D34" authorId="0" shapeId="0" xr:uid="{00000000-0006-0000-0000-000002000000}">
      <text>
        <r>
          <rPr>
            <sz val="9"/>
            <rFont val="Tahoma"/>
            <family val="2"/>
          </rPr>
          <t xml:space="preserve">Fórmulas
Férias: (1/12) = 8,33%
Adicional de Férias (1/3)*(1/12) = 2,78%
Total = 11,11%
OBS: pagamento por fato gerador
Pela Retenção 12,10%
</t>
        </r>
      </text>
    </comment>
    <comment ref="D52" authorId="0" shapeId="0" xr:uid="{00000000-0006-0000-00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0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0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0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000-000007000000}">
      <text>
        <r>
          <rPr>
            <sz val="9"/>
            <rFont val="Tahoma"/>
            <family val="2"/>
          </rPr>
          <t xml:space="preserve">Fórmula:
1 salário integral x (1 mês não trabalhado / 12 meses) x 5,5% estatística = 0,46%
</t>
        </r>
      </text>
    </comment>
    <comment ref="D68" authorId="0" shapeId="0" xr:uid="{00000000-0006-0000-00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0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0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000-00000B000000}">
      <text>
        <r>
          <rPr>
            <sz val="9"/>
            <rFont val="Tahoma"/>
            <family val="2"/>
          </rPr>
          <t>Fórmula:
35,3
0% (Submódulo 2.2) x 1,94% = 0,71%</t>
        </r>
      </text>
    </comment>
    <comment ref="D78" authorId="0" shapeId="0" xr:uid="{00000000-0006-0000-0000-00000C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000-00000D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1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1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1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1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1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1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1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1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1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1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1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1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1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1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2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2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2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2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2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2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2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2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2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2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2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2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2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2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3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3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3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3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3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3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3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3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3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3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3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3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3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3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  <comment ref="D162" authorId="0" shapeId="0" xr:uid="{00000000-0006-0000-0300-00000F000000}">
      <text>
        <r>
          <rPr>
            <sz val="9"/>
            <rFont val="Tahoma"/>
            <family val="2"/>
          </rPr>
          <t>Fómula: (1/12) = 0,0833 = 8,33%</t>
        </r>
      </text>
    </comment>
    <comment ref="D163" authorId="0" shapeId="0" xr:uid="{00000000-0006-0000-0300-000010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181" authorId="0" shapeId="0" xr:uid="{00000000-0006-0000-0300-000011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182" authorId="0" shapeId="0" xr:uid="{00000000-0006-0000-0300-000012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183" authorId="0" shapeId="0" xr:uid="{00000000-0006-0000-0300-000013000000}">
      <text>
        <r>
          <rPr>
            <sz val="9"/>
            <rFont val="Tahoma"/>
            <family val="2"/>
          </rPr>
          <t>Valor conforme CCT</t>
        </r>
      </text>
    </comment>
    <comment ref="D184" authorId="0" shapeId="0" xr:uid="{00000000-0006-0000-0300-000014000000}">
      <text>
        <r>
          <rPr>
            <sz val="9"/>
            <rFont val="Tahoma"/>
            <family val="2"/>
          </rPr>
          <t>Valor conforme CCT</t>
        </r>
      </text>
    </comment>
    <comment ref="D196" authorId="0" shapeId="0" xr:uid="{00000000-0006-0000-0300-000015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197" authorId="0" shapeId="0" xr:uid="{00000000-0006-0000-0300-000016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198" authorId="0" shapeId="0" xr:uid="{00000000-0006-0000-0300-000017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199" authorId="0" shapeId="0" xr:uid="{00000000-0006-0000-0300-000018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200" authorId="0" shapeId="0" xr:uid="{00000000-0006-0000-0300-000019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201" authorId="0" shapeId="0" xr:uid="{00000000-0006-0000-0300-00001A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207" authorId="0" shapeId="0" xr:uid="{00000000-0006-0000-0300-00001B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217" authorId="0" shapeId="0" xr:uid="{00000000-0006-0000-0300-00001C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4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4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4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4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400-000005000000}">
      <text>
        <r>
          <rPr>
            <sz val="9"/>
            <rFont val="Tahoma"/>
            <family val="2"/>
          </rPr>
          <t>Valor conforme CCT</t>
        </r>
      </text>
    </comment>
    <comment ref="D66" authorId="0" shapeId="0" xr:uid="{00000000-0006-0000-0400-000006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7" authorId="0" shapeId="0" xr:uid="{00000000-0006-0000-0400-000007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8" authorId="0" shapeId="0" xr:uid="{00000000-0006-0000-0400-000008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69" authorId="0" shapeId="0" xr:uid="{00000000-0006-0000-0400-000009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0" authorId="0" shapeId="0" xr:uid="{00000000-0006-0000-0400-00000A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1" authorId="0" shapeId="0" xr:uid="{00000000-0006-0000-0400-00000B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7" authorId="0" shapeId="0" xr:uid="{00000000-0006-0000-0400-00000C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7" authorId="0" shapeId="0" xr:uid="{00000000-0006-0000-0400-00000D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A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A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A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A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A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A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A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A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A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A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A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A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A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A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B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B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B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B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B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B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B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B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B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B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B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B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B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B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C00-000001000000}">
      <text>
        <r>
          <rPr>
            <sz val="9"/>
            <rFont val="Tahoma"/>
            <family val="2"/>
          </rPr>
          <t>Fómula: (1/12) = 0,0833 = 8,33%</t>
        </r>
      </text>
    </comment>
    <comment ref="D34" authorId="0" shapeId="0" xr:uid="{00000000-0006-0000-0C00-000002000000}">
      <text>
        <r>
          <rPr>
            <sz val="9"/>
            <rFont val="Tahoma"/>
            <family val="2"/>
          </rPr>
          <t>Fórmulas
Férias: (1/12) = 8,33%
Adicional de Férias (1/3)*(1/12) = 2,78%
Total = 11,11%
OBS: pagamento por fato gerador ou 12,10% pela retenção</t>
        </r>
      </text>
    </comment>
    <comment ref="D52" authorId="0" shapeId="0" xr:uid="{00000000-0006-0000-0C00-000003000000}">
      <text>
        <r>
          <rPr>
            <sz val="9"/>
            <rFont val="Tahoma"/>
            <family val="2"/>
          </rPr>
          <t>Caso não optante do PAT, retirar dedução de 20%. Valores conforme CCT</t>
        </r>
      </text>
    </comment>
    <comment ref="D53" authorId="0" shapeId="0" xr:uid="{00000000-0006-0000-0C00-000004000000}">
      <text>
        <r>
          <rPr>
            <sz val="9"/>
            <rFont val="Tahoma"/>
            <family val="2"/>
          </rPr>
          <t>O valor informado deverá ser o custo real do benefício (descontado o valor eventualmente pago pelo empregado)</t>
        </r>
      </text>
    </comment>
    <comment ref="D54" authorId="0" shapeId="0" xr:uid="{00000000-0006-0000-0C00-000005000000}">
      <text>
        <r>
          <rPr>
            <sz val="9"/>
            <rFont val="Tahoma"/>
            <family val="2"/>
          </rPr>
          <t>Valor conforme CCT</t>
        </r>
      </text>
    </comment>
    <comment ref="D55" authorId="0" shapeId="0" xr:uid="{00000000-0006-0000-0C00-000006000000}">
      <text>
        <r>
          <rPr>
            <sz val="9"/>
            <rFont val="Tahoma"/>
            <family val="2"/>
          </rPr>
          <t>Valor conforme CCT</t>
        </r>
      </text>
    </comment>
    <comment ref="D67" authorId="0" shapeId="0" xr:uid="{00000000-0006-0000-0C00-000007000000}">
      <text>
        <r>
          <rPr>
            <sz val="9"/>
            <rFont val="Tahoma"/>
            <family val="2"/>
          </rPr>
          <t>Fórmula:
1 salário integral x (1 mês não trabalhado / 12 meses) x 5,5% estatística = 0,46%</t>
        </r>
      </text>
    </comment>
    <comment ref="D68" authorId="0" shapeId="0" xr:uid="{00000000-0006-0000-0C00-000008000000}">
      <text>
        <r>
          <rPr>
            <sz val="9"/>
            <rFont val="Tahoma"/>
            <family val="2"/>
          </rPr>
          <t>Fórmula: 0,46%(aviso prévio)*8%(fgts) = 0,0003 = 0,03%</t>
        </r>
      </text>
    </comment>
    <comment ref="D69" authorId="0" shapeId="0" xr:uid="{00000000-0006-0000-0C00-000009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10% (possibilidade de API) = 0,344%
OBS: desde o início de 2020 foi extinta a contribuição social sobre o FGTS, ficando o percentual da multa reajustado de 50% para 40%</t>
        </r>
      </text>
    </comment>
    <comment ref="D70" authorId="0" shapeId="0" xr:uid="{00000000-0006-0000-0C00-00000A000000}">
      <text>
        <r>
          <rPr>
            <sz val="9"/>
            <rFont val="Tahoma"/>
            <family val="2"/>
          </rPr>
          <t>[ (1 remuneração integral / 30 dias) x 7 dias] / 12 meses = 0,0194 = 1,94%</t>
        </r>
      </text>
    </comment>
    <comment ref="D71" authorId="0" shapeId="0" xr:uid="{00000000-0006-0000-0C00-00000B000000}">
      <text>
        <r>
          <rPr>
            <sz val="9"/>
            <rFont val="Tahoma"/>
            <family val="2"/>
          </rPr>
          <t>Fórmula:
36,80% (Submódulo 2.2) x 1,94% = 0,71%</t>
        </r>
      </text>
    </comment>
    <comment ref="D72" authorId="0" shapeId="0" xr:uid="{00000000-0006-0000-0C00-00000C000000}">
      <text>
        <r>
          <rPr>
            <sz val="9"/>
            <rFont val="Tahoma"/>
            <family val="2"/>
          </rPr>
          <t>(Remuneração + 13º salário + Férias + Adicional de férias) x 40% multa x 8% Fgts x 0,9 estimativa = 3,44%
3,44% x 90% (possibilidade de APT) = 3,096%
OBS: desde o início de 2020 foi extinta a contribuição social sobre o FGTS, ficando o percentual da multa reajustado de 50% para 40%</t>
        </r>
      </text>
    </comment>
    <comment ref="D78" authorId="0" shapeId="0" xr:uid="{00000000-0006-0000-0C00-00000D000000}">
      <text>
        <r>
          <rPr>
            <sz val="9"/>
            <rFont val="Tahoma"/>
            <family val="2"/>
          </rPr>
          <t>[(1+1/3)/12]/12: 0,926%
Para o substituto só será provisionado 1/12 das férias, tempo máximo em que ocupará o posto de titular</t>
        </r>
      </text>
    </comment>
    <comment ref="D88" authorId="0" shapeId="0" xr:uid="{00000000-0006-0000-0C00-00000E000000}">
      <text>
        <r>
          <rPr>
            <sz val="9"/>
            <rFont val="Tahoma"/>
            <family val="2"/>
          </rPr>
          <t>Não há necessidade de cobertura do posto em horário de almoço, razão pela qual esta verba está zerada</t>
        </r>
      </text>
    </comment>
  </commentList>
</comments>
</file>

<file path=xl/sharedStrings.xml><?xml version="1.0" encoding="utf-8"?>
<sst xmlns="http://schemas.openxmlformats.org/spreadsheetml/2006/main" count="2217" uniqueCount="354">
  <si>
    <t>DISCRIMINAÇÃO DOS SERVIÇOS (DADOS REFERENTES À CONTRATAÇÃO)</t>
  </si>
  <si>
    <t>A</t>
  </si>
  <si>
    <t>Data de apresentação da proposta (dia/mês/ano):</t>
  </si>
  <si>
    <t>B</t>
  </si>
  <si>
    <t>Município/UF:</t>
  </si>
  <si>
    <t>C</t>
  </si>
  <si>
    <t>Ano do Acordo, Convenção ou Dissídio Coletivo:</t>
  </si>
  <si>
    <t>D</t>
  </si>
  <si>
    <t>Número de meses de execução contratual:</t>
  </si>
  <si>
    <t>IDENTIFICAÇÃO DO SERVIÇO</t>
  </si>
  <si>
    <t>Tipo de Serviço</t>
  </si>
  <si>
    <t>Unidade de Medida</t>
  </si>
  <si>
    <t>Quantidade</t>
  </si>
  <si>
    <t>Meses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</si>
  <si>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</si>
  <si>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</si>
  <si>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</si>
  <si>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</si>
  <si>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</si>
  <si>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</si>
  <si>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</si>
  <si>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</si>
  <si>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</si>
  <si>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</si>
  <si>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</si>
  <si>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</si>
  <si>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</si>
  <si>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</si>
  <si>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</si>
  <si>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</si>
  <si>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</si>
  <si>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</si>
  <si>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</si>
  <si>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</si>
  <si>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</si>
  <si>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</si>
  <si>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</si>
  <si>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</si>
  <si>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</si>
  <si>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</si>
  <si>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</si>
  <si>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</si>
  <si>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</si>
  <si>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</si>
  <si>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</si>
  <si>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</si>
  <si>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</si>
  <si>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</si>
  <si>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</si>
  <si>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</si>
  <si>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</si>
  <si>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</si>
  <si>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</si>
  <si>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</si>
  <si>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</si>
  <si>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</si>
  <si>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</si>
  <si>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</si>
  <si>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</si>
  <si>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</si>
  <si>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</si>
  <si>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</si>
  <si>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</si>
  <si>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</si>
  <si>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</si>
  <si>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</si>
  <si>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</si>
  <si>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</si>
  <si>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</si>
  <si>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</si>
  <si>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</si>
  <si>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</si>
  <si>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</si>
  <si>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</si>
  <si>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</si>
  <si>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</si>
  <si>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</si>
  <si>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</si>
  <si>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</si>
  <si>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Substituto na Intrajornada</t>
  </si>
  <si>
    <t>Substituto na cobertura de 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</si>
  <si>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</si>
  <si>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</si>
  <si>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</si>
  <si>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</si>
  <si>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</si>
  <si>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</si>
  <si>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 de Proteção Coletiva - EPC</t>
  </si>
  <si>
    <t>Módulo 6 - Custos Indiretos, Tributos e Lucro</t>
  </si>
  <si>
    <t>Custos Indiretos, Tributos e Lucro</t>
  </si>
  <si>
    <t>Percentual</t>
  </si>
  <si>
    <t>Custos Indiretos</t>
  </si>
  <si>
    <t>Lucro</t>
  </si>
  <si>
    <t>Tributos</t>
  </si>
  <si>
    <t>C.1. Tributos Federais (PIS e COFINS)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</si>
  <si>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</si>
  <si>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</si>
  <si>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</si>
  <si>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</si>
  <si>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</si>
  <si>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</si>
  <si>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Valor Mensal</t>
  </si>
  <si>
    <t>Equipamentos/EPI</t>
  </si>
  <si>
    <t>Recepção</t>
  </si>
  <si>
    <t>Copeira</t>
  </si>
  <si>
    <t>Item</t>
  </si>
  <si>
    <t>Descrição/Especificação</t>
  </si>
  <si>
    <t>4221-05</t>
  </si>
  <si>
    <t>5134-25</t>
  </si>
  <si>
    <t>RESUMO DE PREÇOS</t>
  </si>
  <si>
    <t>1º de janeiro</t>
  </si>
  <si>
    <t>Auxiliar de Serviços Gerais</t>
  </si>
  <si>
    <t>5143-20</t>
  </si>
  <si>
    <t>Limpeza e conservação</t>
  </si>
  <si>
    <t>ASG</t>
  </si>
  <si>
    <t>Seguro de Vida</t>
  </si>
  <si>
    <t>Apoio Administrativo</t>
  </si>
  <si>
    <t>Recepcionista</t>
  </si>
  <si>
    <t>Carga horária</t>
  </si>
  <si>
    <t>44 horas semanais</t>
  </si>
  <si>
    <t>Valor Unitário</t>
  </si>
  <si>
    <t>Valor Mensal:</t>
  </si>
  <si>
    <t>Copeiragem</t>
  </si>
  <si>
    <t>Recife / PE</t>
  </si>
  <si>
    <t>Serviço assistencial</t>
  </si>
  <si>
    <t>EPIS</t>
  </si>
  <si>
    <t xml:space="preserve">C.2. Tributos Estaduais </t>
  </si>
  <si>
    <t>Cesta básica</t>
  </si>
  <si>
    <t>Porteiro</t>
  </si>
  <si>
    <t>5174-10</t>
  </si>
  <si>
    <t>Salário-Base (04 porteiros)</t>
  </si>
  <si>
    <t>DSR</t>
  </si>
  <si>
    <t>Encarregado</t>
  </si>
  <si>
    <t>4101-05</t>
  </si>
  <si>
    <t>Portaria 24 horas</t>
  </si>
  <si>
    <t>Equipamentos e Utensílios</t>
  </si>
  <si>
    <t>Jardinagem</t>
  </si>
  <si>
    <t>Jardineiro</t>
  </si>
  <si>
    <t>6220-10</t>
  </si>
  <si>
    <t>Equipamentos e utensílios</t>
  </si>
  <si>
    <t>Valor Total Mensal do Posto</t>
  </si>
  <si>
    <t>Posto</t>
  </si>
  <si>
    <t>POSTO NOTURNO</t>
  </si>
  <si>
    <t>Portaria 12  horas diurnas</t>
  </si>
  <si>
    <t>Portaria 12 horas noturnas</t>
  </si>
  <si>
    <t>valor por funcionário</t>
  </si>
  <si>
    <t>Salário-Base (02 porteiros)</t>
  </si>
  <si>
    <t>PE000089/2022</t>
  </si>
  <si>
    <t>12 x 36 horas diurnas</t>
  </si>
  <si>
    <t>12 x 36 horas noturnas</t>
  </si>
  <si>
    <t>Portaria 12 horas</t>
  </si>
  <si>
    <t xml:space="preserve">Salário-Base </t>
  </si>
  <si>
    <t>Valor Global (12 meses):</t>
  </si>
  <si>
    <t>Quant. de Postos</t>
  </si>
  <si>
    <t>(Vinte e oito mil, trezentos e trinta e seis reais e sessenta e oito centavos)</t>
  </si>
  <si>
    <t>(Trezentos e quarenta mil, quarenta reais e dezesseis centavos)</t>
  </si>
  <si>
    <t>PLANILHA RESUMO DE CUSTOS E FORMAÇÃO DE PREÇOS</t>
  </si>
  <si>
    <t>PARCELA FIXA – MÃO DE OBRA DEDICAÇÃO EXCLUSIVA</t>
  </si>
  <si>
    <t>ITEM</t>
  </si>
  <si>
    <t>POSTOS DE TRABALHO</t>
  </si>
  <si>
    <t>CLASSIFICAÇÃO BRASILEIRA DE OCUPAÇÕES - CBO</t>
  </si>
  <si>
    <t>QUANTIDADE DE POSTOS DE TRABALHO</t>
  </si>
  <si>
    <t>SALÁRIO CCT/2022</t>
  </si>
  <si>
    <t>VALOR UNITÁRIO</t>
  </si>
  <si>
    <t>VALOR MENSAL</t>
  </si>
  <si>
    <t>VALOR ANUAL</t>
  </si>
  <si>
    <t>Encarregado de limpeza</t>
  </si>
  <si>
    <t>Servente (ASG)</t>
  </si>
  <si>
    <t>Porteiro diurno</t>
  </si>
  <si>
    <t>Porteiro noturno</t>
  </si>
  <si>
    <t>TOTAL PARCELA FIXA</t>
  </si>
  <si>
    <t>TABELA DE INSUMOS</t>
  </si>
  <si>
    <t>Insumos de Limpeza</t>
  </si>
  <si>
    <t>Materiais de Limpeza</t>
  </si>
  <si>
    <t>Máquinas/Equipamentos de Limpeza</t>
  </si>
  <si>
    <t>VALOR TOTAL DOS INSUMOS</t>
  </si>
  <si>
    <r>
      <t>PREÇO MENSAL UNITÁRIO POR M</t>
    </r>
    <r>
      <rPr>
        <b/>
        <vertAlign val="superscript"/>
        <sz val="14"/>
        <color rgb="FF000000"/>
        <rFont val="Times New Roman"/>
        <family val="1"/>
      </rPr>
      <t>2</t>
    </r>
  </si>
  <si>
    <t>I - ÁREAS INTERNAS</t>
  </si>
  <si>
    <t>MÃO-DE-OBRA</t>
  </si>
  <si>
    <t>(1)</t>
  </si>
  <si>
    <t>(2)</t>
  </si>
  <si>
    <t>(1X2)</t>
  </si>
  <si>
    <t>PRODUTIVIDADE (1/M2)</t>
  </si>
  <si>
    <t>PREÇO HOMEM/MÊS</t>
  </si>
  <si>
    <t>SUBTOTAL (R$/M2)</t>
  </si>
  <si>
    <t>ENCARREGADO</t>
  </si>
  <si>
    <t>____1____</t>
  </si>
  <si>
    <t>(30X1000)</t>
  </si>
  <si>
    <t>SERVENTE</t>
  </si>
  <si>
    <t>PREÇO UNITÁRIO MENSAL POR M2</t>
  </si>
  <si>
    <t>I - ÁREA INTERNA  - BANHEIROS</t>
  </si>
  <si>
    <t>(30X250)</t>
  </si>
  <si>
    <t>I - ÁREA INTERNA  - COPAS E COZINHAS</t>
  </si>
  <si>
    <t>II - ÁREAS EXTERNAS</t>
  </si>
  <si>
    <t>II - ÁREA EXTERNA</t>
  </si>
  <si>
    <t>(5)</t>
  </si>
  <si>
    <t>(4x5)</t>
  </si>
  <si>
    <t>PREÇO HOMEM/MÊS R$</t>
  </si>
  <si>
    <t>(30X2250)</t>
  </si>
  <si>
    <t>III - ESQUADRIA INTERNA E EXTERNA</t>
  </si>
  <si>
    <t>III - FACE EXTERNA SEM EXPOSIÇÃO A SITUAÇÃO DE RISCO**</t>
  </si>
  <si>
    <t>(3)</t>
  </si>
  <si>
    <t>(4)</t>
  </si>
  <si>
    <t>FREQUENCIA NO TRIMESTRE (HORAS)</t>
  </si>
  <si>
    <t>JORNADA DE TRABALHO NO TRIMESTRE (HORAS)</t>
  </si>
  <si>
    <t>= (1x2x3) Ki</t>
  </si>
  <si>
    <t>(30x340)</t>
  </si>
  <si>
    <t>III - FACE INTERNA SEM EXPOSIÇÃO A SITUAÇÃO DE RISCO***</t>
  </si>
  <si>
    <t>FREQUENCIA MENSAL (HORAS)</t>
  </si>
  <si>
    <t>JORNADA DE TRABALHO NO MÊS (HORAS)</t>
  </si>
  <si>
    <t>(30x145)</t>
  </si>
  <si>
    <t>Tipo de Área</t>
  </si>
  <si>
    <t xml:space="preserve">Descrição </t>
  </si>
  <si>
    <t>Área física (m²)</t>
  </si>
  <si>
    <t>Periodicidade</t>
  </si>
  <si>
    <t>Índice de Produtividade mínimo (m²)*</t>
  </si>
  <si>
    <t>Total Área Física (m²)</t>
  </si>
  <si>
    <t>Custo por metro mensal</t>
  </si>
  <si>
    <t>Custo Total</t>
  </si>
  <si>
    <t>Diária</t>
  </si>
  <si>
    <t>Banheiros</t>
  </si>
  <si>
    <t>Copas/cozinhas</t>
  </si>
  <si>
    <t>TOTAL DA ÁREA INTERNA</t>
  </si>
  <si>
    <t>II - Área Externa</t>
  </si>
  <si>
    <t>TOTAL DA ÁREA EXTERNA</t>
  </si>
  <si>
    <t>Face externa SEM exposição a situação de risco**</t>
  </si>
  <si>
    <t>Trimestral</t>
  </si>
  <si>
    <t>Face interna SEM exposição de risco***</t>
  </si>
  <si>
    <t>Semanal</t>
  </si>
  <si>
    <t>TOTAL ESQUADRIA INTERNA/EXTERNA</t>
  </si>
  <si>
    <t>TOTAL MENSAL (I + II+ III)</t>
  </si>
  <si>
    <t>QUANTIDADE DE MESES</t>
  </si>
  <si>
    <t>TOTAL ESTIMADO ANUAL</t>
  </si>
  <si>
    <t>QUANTIDADE TOTAL DE SERVENTES NECESSÁRIOS</t>
  </si>
  <si>
    <t>I - Área Interna</t>
  </si>
  <si>
    <t>III - Esquadrias Internas e Externas</t>
  </si>
  <si>
    <t xml:space="preserve">R$ </t>
  </si>
  <si>
    <t>Porcelanato, cerâmica, granito polido e vinílico</t>
  </si>
  <si>
    <t xml:space="preserve"> </t>
  </si>
  <si>
    <t>(30X1400)</t>
  </si>
  <si>
    <t>Cimentado (Casa de máquina e barrilete)</t>
  </si>
  <si>
    <t>Áreas externas, calçadas e terraço</t>
  </si>
  <si>
    <t>I - ÁREA INTERNA  - PORCELANATO, CERÂMICA, GRANITO POLIDO E VINÍLICO</t>
  </si>
  <si>
    <t>I - ÁREA INTERNA  - CIMENTADO (CASA DE MÁQUINAS, BARRILETE E LIXEIRA)</t>
  </si>
  <si>
    <t>ÁGUA SANITÁRIA</t>
  </si>
  <si>
    <t>UNIDADE</t>
  </si>
  <si>
    <t>QUANT. ANUAL</t>
  </si>
  <si>
    <r>
      <t>Água Sanitária, composição química: hipoclorito de sódio, hidróxido de sódio, cloreto, cor: incolor, aplicçaão: lavagem e alvejante de roupas, banheiras, pias, tipo: comum.</t>
    </r>
    <r>
      <rPr>
        <b/>
        <sz val="11"/>
        <rFont val="Calibri"/>
        <family val="2"/>
        <scheme val="minor"/>
      </rPr>
      <t xml:space="preserve"> </t>
    </r>
  </si>
  <si>
    <t>GALÃO 5 LITROS</t>
  </si>
  <si>
    <t>DESCRIÇÃO-ÁLCOOL LÍQUIDO 70%</t>
  </si>
  <si>
    <t>Álcool Etílico, tipo hidratado, teor alcoólico: 70% , apresentação: líquido. Galão com 5 Litro.</t>
  </si>
  <si>
    <t xml:space="preserve"> COPO DE PLÁSTICO DESCARTÁVEL DE 180 ML. </t>
  </si>
  <si>
    <t>Copo Descartável, capacidade 180 ml,  fabricado em Poliestireno, conforme norma ABNT NBR 14.865.</t>
  </si>
  <si>
    <t>Pacote com 100 unidades</t>
  </si>
  <si>
    <t xml:space="preserve"> COPO DE PLÁSTICO DESCARTÁVEL DE 50 ML </t>
  </si>
  <si>
    <t>Copo Descartável, capacidade 50 ml,  fabricado em Poliestireno, conforme norma ABNT NBR 14.865.</t>
  </si>
  <si>
    <t xml:space="preserve"> DESINFETANTE CONCENTRATO 5 LITROS. </t>
  </si>
  <si>
    <r>
      <rPr>
        <b/>
        <sz val="11"/>
        <rFont val="Calibri"/>
        <family val="2"/>
        <scheme val="minor"/>
      </rPr>
      <t>Desinfetante concentrado - 5 litros</t>
    </r>
    <r>
      <rPr>
        <sz val="11"/>
        <rFont val="Calibri"/>
        <family val="2"/>
        <scheme val="minor"/>
      </rPr>
      <t xml:space="preserve">: categoria básica restrita para desinfecção e aromatização de ambientes, </t>
    </r>
    <r>
      <rPr>
        <b/>
        <sz val="11"/>
        <rFont val="Calibri"/>
        <family val="2"/>
        <scheme val="minor"/>
      </rPr>
      <t xml:space="preserve">Composição: Tensoativos aniônicos, tensoativo não iônico, espessante, sequestrante, conservante, corante e água. Embalagem: </t>
    </r>
    <r>
      <rPr>
        <sz val="11"/>
        <rFont val="Calibri"/>
        <family val="2"/>
        <scheme val="minor"/>
      </rPr>
      <t>contendo externamente prazo de validade, nome do responsável técnico, fabricante, número do registro na ANVISA/ M S, quantidade, modo de usar, composição química, forma de conservação e armazenamento, advertência para não reutilização da embalagem, pecauções, classe toxicológica 9se houve), conduta em caso de acidentes, corante diluição 1/1. composição aromática. acondicionada em embalagem resistente e transparente. Fragância Lavanda.</t>
    </r>
  </si>
  <si>
    <t>Galão 5 litros</t>
  </si>
  <si>
    <t xml:space="preserve"> DESINFETANTE INCOLOR MATA 99% BACTÉRIAS, GERMES E FUNGOS. (Referência: Lysoform ou similar) 5 LITROS. </t>
  </si>
  <si>
    <r>
      <rPr>
        <b/>
        <sz val="11"/>
        <rFont val="Calibri"/>
        <family val="2"/>
        <scheme val="minor"/>
      </rPr>
      <t>Composição: Ativo, tensoativo catiônico, sequestrante, alcalinizante, conservante, fragrância e veículo. Componente ativo: 0,45% de cloreto de benzil alquil dimetil amônio/cloreto de didecil dimetilamônio.</t>
    </r>
    <r>
      <rPr>
        <sz val="11"/>
        <rFont val="Calibri"/>
        <family val="2"/>
        <scheme val="minor"/>
      </rPr>
      <t xml:space="preserve"> Embalagem: Prazo prazo de validade, nome do responsável técnico, fabricante, número do registro na ANVISA/ M S, quantidade, modo de usar, composição química, forma de conservação e armazenamento, advertência para não reutilização da embalagem, pecauções,  conduta em caso de acidentes, acondicionada em embalagem resistente.</t>
    </r>
  </si>
  <si>
    <t xml:space="preserve"> DESORIZADOR. </t>
  </si>
  <si>
    <r>
      <t xml:space="preserve">Desorizador, essêncial: lavanda, apresentação: aerosol, aplicação: aromatizador ambiental, características adicionais: não contenha CFC. Frasco 360ML/302g. </t>
    </r>
    <r>
      <rPr>
        <b/>
        <sz val="11"/>
        <rFont val="Calibri"/>
        <family val="2"/>
        <scheme val="minor"/>
      </rPr>
      <t xml:space="preserve"> </t>
    </r>
  </si>
  <si>
    <t>Frasco 360ML</t>
  </si>
  <si>
    <t xml:space="preserve"> DETERGENTE</t>
  </si>
  <si>
    <r>
      <t xml:space="preserve">Detergente, composição: tensoativos aniônicos/preservnates e espessantes, componente ativo: linear alguibenzeno sulfonato de sódio, aplicação: lavagem de louça, características adicinais: </t>
    </r>
    <r>
      <rPr>
        <b/>
        <sz val="11"/>
        <rFont val="Calibri"/>
        <family val="2"/>
        <scheme val="minor"/>
      </rPr>
      <t>Contém tensoativo biodegradável</t>
    </r>
    <r>
      <rPr>
        <sz val="11"/>
        <rFont val="Calibri"/>
        <family val="2"/>
        <scheme val="minor"/>
      </rPr>
      <t>. Galão 5L</t>
    </r>
  </si>
  <si>
    <t>ESPONJA DUPLA FACE</t>
  </si>
  <si>
    <t>Esponja limpeza, material: espuma / nylon, formato: retangular, abrasividade: mínima / média, aplicação: utensílios e limpeza em geral, características adicionais: dupla face, comprimento mínimo: 110 MM, largura mínima: 75 MM, espessura mínima: 20 MM.</t>
  </si>
  <si>
    <t>Unidade</t>
  </si>
  <si>
    <t xml:space="preserve"> FLANELA DE ALGODÃO.</t>
  </si>
  <si>
    <t xml:space="preserve">Flanela, material: algodão, comprimento: 30 CM, largura: 40 CM, cor: branca </t>
  </si>
  <si>
    <t xml:space="preserve"> GUARDANAPO DE PAPEL</t>
  </si>
  <si>
    <t>Guardanapo de papel, material: celulose, largura: 32,5cm, comprimento: 32,5cm, cor: branca, tipo folhas dupla</t>
  </si>
  <si>
    <t>Pacote com 50 unidades</t>
  </si>
  <si>
    <t>INSETICIDA</t>
  </si>
  <si>
    <t>Composição Praletrina 0.102%, d-fenotrina 0.125%, água, antioxidante, emulsificante, solvente alifático e propelentes. Frasco 380ml</t>
  </si>
  <si>
    <t>Frasco 380ml</t>
  </si>
  <si>
    <t>LIMPA VIDRO</t>
  </si>
  <si>
    <t xml:space="preserve">Limpa vidro, composição tenso ativo aniônico, enso ativo não tônico, éter, glicólico, hidróxido de amônio, corante, perfume e água. Embalagem plástica - frasco contendo 500 ML, especificando o nome do fabricante, data de fabricação e prazo de validade.  </t>
  </si>
  <si>
    <t>Frasco com 500 ML</t>
  </si>
  <si>
    <t xml:space="preserve"> LUSTRA MÓVEIS </t>
  </si>
  <si>
    <t xml:space="preserve">Lustrador móveis, componentes: ceras e solventes, aplicação: móveis e superfícies lisas, características adidionais: composto emulsionado, contém mínimo 6,5% de sóli, aspecto físico: líquido. Frasco com 500 ML. </t>
  </si>
  <si>
    <t>LUVA BORRACHA LIMPEZA PESADA G</t>
  </si>
  <si>
    <r>
      <t xml:space="preserve">Luva de segurança confeccionada em latex natural, revestida internamente com flocos de algodão e frisos anteaderente, </t>
    </r>
    <r>
      <rPr>
        <b/>
        <sz val="11"/>
        <color theme="1"/>
        <rFont val="Calibri"/>
        <family val="2"/>
        <scheme val="minor"/>
      </rPr>
      <t>tamanho: Grande</t>
    </r>
    <r>
      <rPr>
        <sz val="11"/>
        <color theme="1"/>
        <rFont val="Calibri"/>
        <family val="2"/>
        <scheme val="minor"/>
      </rPr>
      <t xml:space="preserve">, características adicionais: resistente produtos químicos, uso: limpeza pesada, formato: anatômico, espessura: 70MM, comprimento: mínimo de 30 CM. </t>
    </r>
  </si>
  <si>
    <t>PACOTE COM UM PAR</t>
  </si>
  <si>
    <t xml:space="preserve"> LUVA BORRACHA LIMPEZA PESADA M </t>
  </si>
  <si>
    <r>
      <t>Luva de segurança confeccionada em latex natural, revestida internamente com flocos de algodão e frisos anteaderente,</t>
    </r>
    <r>
      <rPr>
        <b/>
        <sz val="11"/>
        <color theme="1"/>
        <rFont val="Calibri"/>
        <family val="2"/>
        <scheme val="minor"/>
      </rPr>
      <t xml:space="preserve"> tamanho: Médio</t>
    </r>
    <r>
      <rPr>
        <sz val="11"/>
        <color theme="1"/>
        <rFont val="Calibri"/>
        <family val="2"/>
        <scheme val="minor"/>
      </rPr>
      <t xml:space="preserve">, características adicionais: resistente produtos químicos, uso: limpeza pesada, formato: anatômico, espessura: 70MM, comprimento: mínimo de 30 CM. </t>
    </r>
  </si>
  <si>
    <t xml:space="preserve"> LUVA BORRACHA LIMPEZA PESADA P</t>
  </si>
  <si>
    <r>
      <t xml:space="preserve">Luva de segurança confeccionada em latex natural, revestida internamente com flocos de algodão e frisos anteaderente, </t>
    </r>
    <r>
      <rPr>
        <b/>
        <sz val="11"/>
        <color theme="1"/>
        <rFont val="Calibri"/>
        <family val="2"/>
        <scheme val="minor"/>
      </rPr>
      <t>tamanho: Pequena,</t>
    </r>
    <r>
      <rPr>
        <sz val="11"/>
        <color theme="1"/>
        <rFont val="Calibri"/>
        <family val="2"/>
        <scheme val="minor"/>
      </rPr>
      <t xml:space="preserve"> características adicionais: resistente produtos químicos, uso: limpeza pesada, formato: anatômico, espessura: 70MM, comprimento: mínimo de 30 CM. </t>
    </r>
  </si>
  <si>
    <t xml:space="preserve"> LIMPADOR MULTIUSO PARA LIMPEZA PESADA. </t>
  </si>
  <si>
    <r>
      <t xml:space="preserve">Limpador multiuso para limpeza pesada, para aplicação em qualquer superfície lavável e na remoção de gordura, poeiras e outros tipos de sujeira. GALÃO 5L. </t>
    </r>
    <r>
      <rPr>
        <b/>
        <sz val="11"/>
        <rFont val="Calibri"/>
        <family val="2"/>
        <scheme val="minor"/>
      </rPr>
      <t>Composição: Alquil benzeno sulfonato de sódio, álcool etoxilado, coadjuvantes, sequestrante, fragrância e água</t>
    </r>
    <r>
      <rPr>
        <sz val="11"/>
        <rFont val="Calibri"/>
        <family val="2"/>
        <scheme val="minor"/>
      </rPr>
      <t xml:space="preserve">. Especificação do fabricante, data de fabricação e prazo de validade.  </t>
    </r>
  </si>
  <si>
    <t>PANO DE CHÃO ALVEJADO GRANDE</t>
  </si>
  <si>
    <t xml:space="preserve">Pano alvejado de chão branco costurado, gramatura de 166 G/M2. Medida: 40 CM X 64 CM (costurado) e 80 CM X 64 CM aberto. O sado deve ser costurado e produzido com 100% algodão.  </t>
  </si>
  <si>
    <t xml:space="preserve"> PANO DE PRATO ALVEJADO</t>
  </si>
  <si>
    <r>
      <t xml:space="preserve">Pano de prato, material: algodão alvejado, comprimento: 68 CM, largura: 40 CM, cor: diversas (estampado), características adicionais: alto nível de absorção. </t>
    </r>
    <r>
      <rPr>
        <b/>
        <sz val="11"/>
        <color rgb="FF000000"/>
        <rFont val="Calibri"/>
        <family val="2"/>
        <scheme val="minor"/>
      </rPr>
      <t xml:space="preserve"> </t>
    </r>
  </si>
  <si>
    <t>PANO PARA LIMPEZA MULTIUSO REUTILIZÁVEL EM ROLO</t>
  </si>
  <si>
    <t xml:space="preserve">
Rolo Pano Limpeza Luxo Multiuso  30cm x 300m.  Características: rolo com 300 metros; picotado; cor azul; gramatura do pano 40g/m², composição: viscose e poliéster. </t>
  </si>
  <si>
    <t>Rolo com 300 metros</t>
  </si>
  <si>
    <t>PAPEL HIGIÊNICO MATERIAL EM CELUSOLE VIRGEM.</t>
  </si>
  <si>
    <t xml:space="preserve">Papel higiênico, material: celulose virgem, comprimento: 300 metros, largura: 10 CM, tipo: gofrado, quantidade folhas: simples, cor: branca, características adicionais: não aplicável, fardo com 08 rolos. </t>
  </si>
  <si>
    <t>Fardo com 08 rolos</t>
  </si>
  <si>
    <t xml:space="preserve">PAPEL TOALHA BRANCO EM ROLO COM 100% FIBRAS CELULÓSICAS VIRGENS (NÃO RECICLÁVEL) </t>
  </si>
  <si>
    <r>
      <rPr>
        <b/>
        <sz val="11"/>
        <color rgb="FF000000"/>
        <rFont val="Calibri"/>
        <family val="2"/>
        <scheme val="minor"/>
      </rPr>
      <t>Descrição:</t>
    </r>
    <r>
      <rPr>
        <sz val="11"/>
        <color rgb="FF000000"/>
        <rFont val="Calibri"/>
        <family val="2"/>
        <scheme val="minor"/>
      </rPr>
      <t xml:space="preserve"> Papel toalha bobina folha simples, com gramatura de 19grs/m². Produto fabricado com 100% de fibras de celulose virgem, pacote com 6 rolos de 200 metros.
</t>
    </r>
    <r>
      <rPr>
        <b/>
        <sz val="11"/>
        <color rgb="FF000000"/>
        <rFont val="Calibri"/>
        <family val="2"/>
        <scheme val="minor"/>
      </rPr>
      <t>Características do papel:</t>
    </r>
    <r>
      <rPr>
        <sz val="11"/>
        <color rgb="FF000000"/>
        <rFont val="Calibri"/>
        <family val="2"/>
        <scheme val="minor"/>
      </rPr>
      <t xml:space="preserve">
• Composição: Fibras celulósicas 100% virgens
• Dimensões: 0,20 x 200 metros
• Registro MS/ Anvisa: N/A
• Tipo de Folha: Folha Simples
• Gramatura: 19g/m²</t>
    </r>
  </si>
  <si>
    <t>Pacote com 6 rolos de 200 metros</t>
  </si>
  <si>
    <t xml:space="preserve"> SABÃO EM PÓ</t>
  </si>
  <si>
    <r>
      <rPr>
        <b/>
        <sz val="11"/>
        <color rgb="FF000000"/>
        <rFont val="Calibri"/>
        <family val="2"/>
        <scheme val="minor"/>
      </rPr>
      <t xml:space="preserve">Composição: </t>
    </r>
    <r>
      <rPr>
        <sz val="11"/>
        <color rgb="FF000000"/>
        <rFont val="Calibri"/>
        <family val="2"/>
        <scheme val="minor"/>
      </rPr>
      <t xml:space="preserve">Tensoativo aniônico, tamponantes, coadjuvantes, sinergista, corante, enzimas, branqueador óptico, fragrâncias e carga. Princípio ativo: alquil benzeno sulfonato de sódio. Contém tensoativo biodegradável.
</t>
    </r>
  </si>
  <si>
    <t>Pacote com 5Kg</t>
  </si>
  <si>
    <t xml:space="preserve">SABONETE HIDRATANTE LÍQUIDO PEROLADO PARA AS MÃOES ANTI-SÉPTICO </t>
  </si>
  <si>
    <t xml:space="preserve">Sabonete hidratante liquido para as mãos. Sabonete liquido anti-séptico para as mãoes, fragrância Erva Doce, PH neutro, cremoso perolado, com registro no Ministério da Saúde, químico responsável. Galão de 5 litros, com tampa abre e fecha de rosquear, informações do fabricante estampados na embalagem, fabricação CORDEX ou de qualidde similar/superior, com certificado do INMETRO, validade mínima de 12 (doze) meses contados a partir da data de fabricação. Embalagem com 5 litros. </t>
  </si>
  <si>
    <t>Bobona com 5 litros</t>
  </si>
  <si>
    <t xml:space="preserve"> SACO PARA LIXO DE 300 LITROS VIRGEM PADRÃO ABNT </t>
  </si>
  <si>
    <r>
      <t xml:space="preserve">Saco plástico lixo, capacidade: 300 litros, cor: preta: apresentação: peça única, 120cmx 135cmx0,12cm, caracterísistcas adicionais: matéria prima virgem, aplicação: coleta lixo. Pacote com 50 unidades.  </t>
    </r>
    <r>
      <rPr>
        <u/>
        <sz val="11"/>
        <color rgb="FF000000"/>
        <rFont val="Calibri"/>
        <family val="2"/>
        <scheme val="minor"/>
      </rPr>
      <t>OBS.: NÃO SERÁ ACEITO COTAÇÃO DE SACO DE LIXO DE 300 LITROS DO TIPO RECICLADO.</t>
    </r>
  </si>
  <si>
    <t xml:space="preserve"> SACO PARA LIXO DE 100 LITROS VIRGEM PADRÃO ABNT </t>
  </si>
  <si>
    <r>
      <t xml:space="preserve">Saco plástico lixo, capacidade: 100 litros, cor: preta: apresentação: peça única, largura:75 CM, altura: 105 CM, caracterísistcas adicionais: matéria prima virgem, espessura: 0,10 micra, aplicação: coleta lixo. Pacote com 100 unidades.  </t>
    </r>
    <r>
      <rPr>
        <u/>
        <sz val="11"/>
        <color rgb="FF000000"/>
        <rFont val="Calibri"/>
        <family val="2"/>
        <scheme val="minor"/>
      </rPr>
      <t>OBS.: NÃO SERÁ ACEITO COTAÇÃO DE SACO DE LIXO DE 100 LITROS DO TIPO RECICLADO.</t>
    </r>
  </si>
  <si>
    <t xml:space="preserve"> SACO PARA LIXO DE 60 LITROS VIRGEM PADRÃO ABNT </t>
  </si>
  <si>
    <r>
      <t xml:space="preserve">Saco plástico lixo, capacidade: 60 litros, cor: preta: apresentação: peça única, largura: 60 CM, altura: 70 CM, caracterísistcas adicionais: matéria prima virgem, espessura: 0,10 micra, aplicação: coleta lixo. Pacote com 100 unidades.  </t>
    </r>
    <r>
      <rPr>
        <u/>
        <sz val="11"/>
        <color rgb="FF000000"/>
        <rFont val="Calibri"/>
        <family val="2"/>
        <scheme val="minor"/>
      </rPr>
      <t>OBS.: NÃO SERÁ ACEITO COTAÇÃO DE SACO DE LIXO DE 60LITROS DO TIPO RECICLADO.</t>
    </r>
  </si>
  <si>
    <t>VALOR TOTAL</t>
  </si>
  <si>
    <t>BALDE ESPREMEDOR 20 LITROS</t>
  </si>
  <si>
    <t>20 litros</t>
  </si>
  <si>
    <t>Dispenser Toalheiro Papel Toalha Bobinha Com Alavanca 300m</t>
  </si>
  <si>
    <t>Dispenser  Porta Sabonete ou Álcool Gel com reservatório</t>
  </si>
  <si>
    <t>Descrição:
- Visor transparente, permitindo a visualização do final do produto e facilitando o abastecimento.
-Constituído de plástico com excelente resistência.
- Processo de produção por injeção termoplástica.
Capacidade: 800ml
Dimensões: 125x120x250nn
Cor: Branco</t>
  </si>
  <si>
    <t>LIXEIRA C/ PEDAL 6,5L BRANCA C/ TAMPA</t>
  </si>
  <si>
    <t xml:space="preserve">Descrição: Lixeira com Pedal 6,5 Litros. Acionamento da tampa é feito através de pedal, A haste e pedal são confeccionados com plástico resistente. E Validade por tempo indeterminado. Cor: Branco. </t>
  </si>
  <si>
    <t>DESCRIÇÃO - LIXEIRA 10L SEM TAMPA</t>
  </si>
  <si>
    <t>Descrição do produto
O Cesto para Lixo Plástico Cônico Branco 9,4L Produzido em plástico,  durável, resistente com fechado para evitar vazamentos.
Especificações
Altura30,0 CM
Largura23,0 CM
Comprimento23,0 CM
Cor: Branco
Litragem Até 10L
Material Plástico</t>
  </si>
  <si>
    <t>DESCRIÇÃO - LIXEIRA COM PEDAL 40L COM TAMPA</t>
  </si>
  <si>
    <t>DESCRIÇÃO - MOP ÚMIDO COMPLETO</t>
  </si>
  <si>
    <r>
      <t xml:space="preserve">Descrição: </t>
    </r>
    <r>
      <rPr>
        <b/>
        <sz val="11"/>
        <rFont val="Arial"/>
        <family val="2"/>
      </rPr>
      <t>MOP ÚMIDO</t>
    </r>
    <r>
      <rPr>
        <sz val="11"/>
        <rFont val="Arial"/>
        <family val="2"/>
      </rPr>
      <t xml:space="preserve"> (Esfregão Completo Com Cabo 1,40 Metros, 2 Estágios Retrátil e Telescópico + Haste Euro + Refil.                                                                             DETALHES: Refil para mop líquido com 85% de algodão e 15% de poliester em sua composição.
Alto poder de absorção e resistência. Suas pontas em Loop 
 CINTA E PONTA EM LOOP na cor Azul
Especificações 320 g
Comp.: 35 cm
Largura: 17 cm
Altura: 6 cm</t>
    </r>
  </si>
  <si>
    <t>DESCRIÇÃO -MOP PÓ COMPLETO 60cm</t>
  </si>
  <si>
    <t>Descrição: Cabo de Alumínio Telescópico 0,70 a 1,40 m
Armação Euro dobrável em Polipropileno e aço galvanizado e Luva composta por fios 100% acrílicos que permitem uma estática natural com resultado superior na retenção de partículas.</t>
  </si>
  <si>
    <t>DESCRIÇÃO - MOP RODO LIMPA VIDRO EXTENSÍVEL</t>
  </si>
  <si>
    <t>Descrição: Rodo Limpa Vidros Extensor 3,10 Mts Espanador Eletrostático
Cabo pode ser reduzido a 1,25 Metros 
- Régua Flanela 
- Régua de Borracha p
-Espanador Eletrostático tira Pó - 100% microfibra
Dimensões do produtos:
Rodo Limpa Vidros Telescópico Cabo Extensor 3,10 Metros
(a) 3,10 Metros
(l) 25,5 Cm (Superfície Emborrachada)
(l) 27 Cm (Superfície Microfibra)
(p) 8 Cm
Tamanho do Espanador: 40cm</t>
  </si>
  <si>
    <t xml:space="preserve">DESCRIÇÃO - PÁ DE LIXO COM CABO </t>
  </si>
  <si>
    <t xml:space="preserve"> Descrição: Dimensões: 25 x 22cm.
- Perfil colorido na base frontal para auxiliar na coleta da sujeira.
- Cabo madeira plastificado 90cm 22mm.
- Pá plastica para lixo com cabo de madeira.</t>
  </si>
  <si>
    <t>DESCRIÇÃO -PLACA SINALIZADORA PISO MOLHADO</t>
  </si>
  <si>
    <t xml:space="preserve"> Descrição: Placa sinalizadora - isolamento e identificação das áreas evitando risco de acidentes;
Material em PEAD - Polietileno de Alta Densidade
Dimensões: (LxAxP)30,0 x 62,0 x 48,0 cm      Modelo: Piso Molhado
Cor: Amarelo                                                                          O aviso é bilíngue para auxiliar no entendimento. </t>
  </si>
  <si>
    <t>DESCRIÇÃO - REFIL MOP MOLHADO</t>
  </si>
  <si>
    <t>Descrição: Refil Úmido C/Cinta 320g                                                          Especificações:
- Ponta Loop 85% Algodão / 15% Poliéster
- Cor: Azul e Branco
- Comprimento: 35cm
- Largura: 17cm
- Altura: 6cm
- Peso: 230g                                                                      Obs.: 24 unidades na cor branca e 24 unidades na cor azul</t>
  </si>
  <si>
    <t xml:space="preserve">DESCRIÇÃO - REFIL MOP PÓ </t>
  </si>
  <si>
    <t>Descrição: Refil para Mop Pó Acrílico 60cm x 15cm                    CARACTERÍSTICAS TÉCNICAS:
Cor: Azul
Composição: 100% acrílico</t>
  </si>
  <si>
    <t>DESCRIÇÃO - RODO COM CABO E SUPORTE POLIPROPILENO</t>
  </si>
  <si>
    <t xml:space="preserve">Descrição: Rodo, material cabo: polipropileno, material suporte: polipropileno, comprimento suporte: 60 CM, características adicionais: cabo aproximadamente 1 metro, ponta plástica rosqueável. </t>
  </si>
  <si>
    <t>DESCRIÇÃO - VASSOURA EM CERDAS DE PIAÇAVA.</t>
  </si>
  <si>
    <t>Descrição: Vassoura cerdas de piaçava de 30 CM, cabo de madeira de 120 CM , cabo rosqueado de madeira revestido.</t>
  </si>
  <si>
    <t>unidade</t>
  </si>
  <si>
    <t>DESCRIÇÃO-VASSOURA DE PELO SINTÉTICO DE NYLON</t>
  </si>
  <si>
    <t xml:space="preserve">
Descrição: Vassoura de pelo sintético de nylon com cabo de madeira plástificado, medida da base entre 24 a 30 CM, com base de madeira pintada, contendo rosca para cabo de aproximadamente 1,30 M.</t>
  </si>
  <si>
    <t xml:space="preserve">Descrição: Balde Espremedor Para MOP Úmido DOBLÔ 20 Litros  AMARELO.  Modelo Flex, composto pelos seguintes itens: • Balde com capacidade para 32 litros com alças;           • Espremedor com pressão lateral para Mops Convencionais ou Planos;
• Divisória interna com capacidade de 12 litros; 4 rodízios de 50 mm Clip de Fixação. Suportes para fixação dos cabos durante a limpeza e para os deslocamentos. Cantos arredondados para facilitar a limpeza e higienização pós uso. Estabilidade: Perfeita estabilidade para prevenir derramamentos e retrabalho.
Cantos arredondados para facilitar a limpeza e higienização pós uso. </t>
  </si>
  <si>
    <t xml:space="preserve">Descrição: Informações Técnicas:
Altura: 33,5cm
Largura: 26cmLargura: 26cm Comporta Bobinas de 196 a 200mm de largura
Comporta Bobinas com Comprimneto de 200m  (MODELO COMPACTO) e 300m (MODELO NORMAL)
Chave de Segurança em Cruz de Segurança em Cruz                                                                                     Material: Termoplástico                                                                   Cor: Branca
Comprimento: 23,5cm
Capacidade de Rolo: 1 Rolo
</t>
  </si>
  <si>
    <t>Descrição: LIXEIRA C/ PEDAL BRANCA 40L
Lixeira confeccionada em polipropileno na cor branca.Tampa acionada através de pedal plástico, evitando o contato manual.Formato que se adapta a diversos ambientes da casa.Fácil higienização.Capacidade: 40 Litros</t>
  </si>
  <si>
    <t>MÁQUINAS E EQUIPAMENTOS COM ENTREGA ANUAL</t>
  </si>
  <si>
    <t>MATERIAL DE CONSUMO COM ENTREGA MENSAL (ASG E COPA)</t>
  </si>
  <si>
    <t>5174-20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</si>
</sst>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"/>
    <numFmt numFmtId="166" formatCode="[$R$-416]&quot; &quot;#,##0.00;[Red]&quot;-&quot;[$R$-416]&quot; &quot;#,##0.00"/>
    <numFmt numFmtId="167" formatCode="[$R$-416]#,##0.00&quot; &quot;;[$R$-416]&quot;(&quot;#,##0.00&quot;)&quot;;[$R$-416]&quot;-&quot;00&quot; &quot;;&quot; &quot;@&quot; &quot;"/>
    <numFmt numFmtId="168" formatCode="[$R$-416]\ #,##0.00"/>
    <numFmt numFmtId="169" formatCode="0.0000000"/>
    <numFmt numFmtId="170" formatCode="[$R$-416]#,##0.00&quot; &quot;;&quot;-&quot;[$R$-416]#,##0.00&quot; &quot;;[$R$-416]&quot;-&quot;00&quot; &quot;;&quot; &quot;@&quot; &quot;"/>
    <numFmt numFmtId="171" formatCode="[$R$-416]&quot; &quot;#,##0.00&quot; &quot;;&quot;-&quot;[$R$-416]&quot; &quot;#,##0.00&quot; &quot;;[$R$-416]&quot; -&quot;00&quot; &quot;;&quot; &quot;@&quot; &quot;"/>
    <numFmt numFmtId="172" formatCode="&quot; R$ &quot;#,##0.00&quot; &quot;;&quot; R$ (&quot;#,##0.00&quot;)&quot;;&quot; R$ -&quot;00&quot; &quot;;&quot; &quot;@&quot; &quot;"/>
    <numFmt numFmtId="173" formatCode="#,##0.00&quot; &quot;;&quot; (&quot;#,##0.00&quot;)&quot;;&quot;-&quot;#&quot; &quot;;@&quot; &quot;"/>
    <numFmt numFmtId="174" formatCode="#,##0.00&quot; &quot;;&quot;(&quot;#,##0.00&quot;)&quot;;&quot;-&quot;#&quot; &quot;;&quot; &quot;@&quot; &quot;"/>
    <numFmt numFmtId="175" formatCode="#,##0.00&quot; &quot;;#,##0.00&quot; &quot;;&quot;-&quot;#&quot; &quot;;&quot; &quot;@&quot; &quot;"/>
    <numFmt numFmtId="176" formatCode="&quot; R$ &quot;#,##0.00&quot; &quot;;&quot; R$ (&quot;#,##0.00&quot;)&quot;;&quot; R$ -&quot;#&quot; &quot;;@&quot; &quot;"/>
    <numFmt numFmtId="177" formatCode="&quot; &quot;#,##0.00&quot; &quot;;&quot; (&quot;#,##0.00&quot;)&quot;;&quot;-&quot;00&quot; &quot;;&quot; &quot;@&quot; &quot;"/>
    <numFmt numFmtId="178" formatCode="_(&quot;R$ &quot;* #,##0.00_);_(&quot;R$ &quot;* \(#,##0.00\);_(&quot;R$ &quot;* &quot;-&quot;??_);_(@_)"/>
    <numFmt numFmtId="181" formatCode="_-&quot;R$&quot;\ * #,##0.00_-;\-&quot;R$&quot;\ * #,##0.00_-;_-&quot;R$&quot;\ * &quot;-&quot;??_-;_-@_-"/>
  </numFmts>
  <fonts count="6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1"/>
      <name val="Arial"/>
      <family val="2"/>
    </font>
    <font>
      <sz val="10"/>
      <color indexed="64"/>
      <name val="Arial"/>
      <family val="2"/>
    </font>
    <font>
      <sz val="10"/>
      <color indexed="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Tahoma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Arial"/>
      <family val="2"/>
    </font>
    <font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1"/>
      <color rgb="FF0563C1"/>
      <name val="Arial"/>
      <family val="2"/>
    </font>
    <font>
      <u/>
      <sz val="10"/>
      <color rgb="FF0000EE"/>
      <name val="Arial"/>
      <family val="2"/>
    </font>
    <font>
      <sz val="10"/>
      <color rgb="FF000000"/>
      <name val="Mangal"/>
      <family val="1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5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7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Border="0" applyProtection="0"/>
    <xf numFmtId="0" fontId="14" fillId="0" borderId="0" applyNumberFormat="0" applyBorder="0" applyProtection="0"/>
    <xf numFmtId="167" fontId="23" fillId="0" borderId="0" applyFont="0" applyBorder="0" applyProtection="0"/>
    <xf numFmtId="0" fontId="23" fillId="0" borderId="0"/>
    <xf numFmtId="170" fontId="23" fillId="0" borderId="0" applyFont="0" applyBorder="0" applyProtection="0"/>
    <xf numFmtId="0" fontId="36" fillId="0" borderId="0" applyNumberFormat="0" applyBorder="0" applyProtection="0"/>
    <xf numFmtId="0" fontId="37" fillId="9" borderId="0" applyNumberFormat="0" applyBorder="0" applyProtection="0"/>
    <xf numFmtId="0" fontId="37" fillId="10" borderId="0" applyNumberFormat="0" applyBorder="0" applyProtection="0"/>
    <xf numFmtId="0" fontId="36" fillId="11" borderId="0" applyNumberFormat="0" applyBorder="0" applyProtection="0"/>
    <xf numFmtId="0" fontId="38" fillId="12" borderId="0" applyNumberFormat="0" applyBorder="0" applyProtection="0"/>
    <xf numFmtId="0" fontId="39" fillId="13" borderId="0" applyNumberFormat="0" applyBorder="0" applyProtection="0"/>
    <xf numFmtId="174" fontId="14" fillId="0" borderId="0" applyBorder="0" applyProtection="0"/>
    <xf numFmtId="9" fontId="14" fillId="0" borderId="0" applyBorder="0" applyProtection="0"/>
    <xf numFmtId="0" fontId="40" fillId="0" borderId="0" applyNumberFormat="0" applyBorder="0" applyProtection="0"/>
    <xf numFmtId="0" fontId="41" fillId="14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11" fillId="0" borderId="0" applyNumberFormat="0" applyBorder="0" applyProtection="0"/>
    <xf numFmtId="0" fontId="44" fillId="0" borderId="0" applyNumberFormat="0" applyFill="0" applyBorder="0" applyAlignment="0" applyProtection="0"/>
    <xf numFmtId="0" fontId="45" fillId="0" borderId="0" applyNumberFormat="0" applyBorder="0" applyProtection="0"/>
    <xf numFmtId="171" fontId="14" fillId="0" borderId="0" applyBorder="0" applyProtection="0"/>
    <xf numFmtId="167" fontId="23" fillId="0" borderId="0" applyFont="0" applyBorder="0" applyProtection="0"/>
    <xf numFmtId="176" fontId="46" fillId="0" borderId="0" applyBorder="0" applyProtection="0"/>
    <xf numFmtId="172" fontId="23" fillId="0" borderId="0" applyFont="0" applyBorder="0" applyProtection="0"/>
    <xf numFmtId="0" fontId="47" fillId="15" borderId="0" applyNumberFormat="0" applyBorder="0" applyProtection="0"/>
    <xf numFmtId="0" fontId="14" fillId="0" borderId="0" applyNumberFormat="0" applyBorder="0" applyProtection="0"/>
    <xf numFmtId="0" fontId="23" fillId="0" borderId="0" applyNumberFormat="0" applyFont="0" applyBorder="0" applyProtection="0"/>
    <xf numFmtId="0" fontId="14" fillId="0" borderId="0" applyNumberFormat="0" applyBorder="0" applyProtection="0"/>
    <xf numFmtId="0" fontId="21" fillId="0" borderId="0" applyNumberFormat="0" applyBorder="0" applyProtection="0"/>
    <xf numFmtId="0" fontId="14" fillId="0" borderId="0" applyNumberFormat="0" applyBorder="0" applyProtection="0"/>
    <xf numFmtId="0" fontId="26" fillId="0" borderId="0" applyNumberFormat="0" applyBorder="0" applyProtection="0"/>
    <xf numFmtId="0" fontId="48" fillId="15" borderId="35" applyNumberFormat="0" applyProtection="0"/>
    <xf numFmtId="174" fontId="14" fillId="0" borderId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173" fontId="14" fillId="0" borderId="0" applyBorder="0" applyProtection="0"/>
    <xf numFmtId="175" fontId="14" fillId="0" borderId="0" applyBorder="0" applyProtection="0"/>
    <xf numFmtId="177" fontId="23" fillId="0" borderId="0" applyFont="0" applyBorder="0" applyProtection="0"/>
    <xf numFmtId="177" fontId="23" fillId="0" borderId="0" applyFont="0" applyBorder="0" applyProtection="0"/>
    <xf numFmtId="0" fontId="38" fillId="0" borderId="0" applyNumberFormat="0" applyBorder="0" applyProtection="0"/>
    <xf numFmtId="0" fontId="13" fillId="0" borderId="0"/>
    <xf numFmtId="178" fontId="13" fillId="0" borderId="0" applyFill="0" applyBorder="0" applyAlignment="0" applyProtection="0"/>
    <xf numFmtId="9" fontId="13" fillId="0" borderId="0" applyFill="0" applyBorder="0" applyAlignment="0" applyProtection="0"/>
    <xf numFmtId="0" fontId="49" fillId="0" borderId="36" applyNumberFormat="0" applyFill="0" applyAlignment="0" applyProtection="0"/>
    <xf numFmtId="43" fontId="13" fillId="0" borderId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" fillId="0" borderId="0"/>
    <xf numFmtId="0" fontId="1" fillId="0" borderId="0"/>
    <xf numFmtId="164" fontId="10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17" fillId="0" borderId="0" xfId="0" applyFont="1" applyAlignment="1">
      <alignment horizontal="justify" vertical="center"/>
    </xf>
    <xf numFmtId="0" fontId="16" fillId="0" borderId="0" xfId="0" applyFont="1" applyBorder="1" applyAlignment="1"/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0" fontId="7" fillId="2" borderId="4" xfId="0" applyNumberFormat="1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/>
    <xf numFmtId="0" fontId="0" fillId="2" borderId="0" xfId="0" applyFill="1"/>
    <xf numFmtId="10" fontId="8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0" borderId="0" xfId="0" applyNumberFormat="1"/>
    <xf numFmtId="0" fontId="0" fillId="2" borderId="0" xfId="0" applyFill="1"/>
    <xf numFmtId="164" fontId="5" fillId="2" borderId="4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44" fontId="0" fillId="2" borderId="0" xfId="0" applyNumberFormat="1" applyFill="1"/>
    <xf numFmtId="164" fontId="5" fillId="4" borderId="4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19" fillId="0" borderId="6" xfId="1" applyFont="1" applyBorder="1" applyAlignment="1"/>
    <xf numFmtId="164" fontId="19" fillId="0" borderId="6" xfId="1" applyFont="1" applyBorder="1" applyAlignment="1">
      <alignment horizontal="center"/>
    </xf>
    <xf numFmtId="44" fontId="0" fillId="0" borderId="0" xfId="0" applyNumberFormat="1"/>
    <xf numFmtId="0" fontId="0" fillId="2" borderId="0" xfId="0" applyFill="1"/>
    <xf numFmtId="0" fontId="7" fillId="2" borderId="0" xfId="0" applyFont="1" applyFill="1"/>
    <xf numFmtId="10" fontId="0" fillId="2" borderId="0" xfId="2" applyNumberFormat="1" applyFont="1" applyFill="1"/>
    <xf numFmtId="164" fontId="0" fillId="0" borderId="0" xfId="1" applyFont="1"/>
    <xf numFmtId="0" fontId="16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64" fontId="0" fillId="2" borderId="0" xfId="1" applyFont="1" applyFill="1"/>
    <xf numFmtId="164" fontId="16" fillId="2" borderId="0" xfId="1" applyFont="1" applyFill="1"/>
    <xf numFmtId="0" fontId="7" fillId="2" borderId="0" xfId="0" applyFont="1" applyFill="1"/>
    <xf numFmtId="0" fontId="0" fillId="2" borderId="0" xfId="0" applyFill="1"/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/>
    <xf numFmtId="0" fontId="10" fillId="0" borderId="0" xfId="0" applyFont="1"/>
    <xf numFmtId="0" fontId="0" fillId="2" borderId="0" xfId="0" applyFill="1"/>
    <xf numFmtId="0" fontId="0" fillId="2" borderId="0" xfId="0" applyFill="1"/>
    <xf numFmtId="44" fontId="0" fillId="2" borderId="0" xfId="0" applyNumberFormat="1" applyFill="1" applyBorder="1"/>
    <xf numFmtId="0" fontId="10" fillId="2" borderId="0" xfId="0" applyFont="1" applyFill="1" applyBorder="1" applyAlignment="1">
      <alignment horizontal="left"/>
    </xf>
    <xf numFmtId="0" fontId="0" fillId="2" borderId="3" xfId="0" applyFill="1" applyBorder="1"/>
    <xf numFmtId="44" fontId="0" fillId="2" borderId="3" xfId="0" applyNumberFormat="1" applyFill="1" applyBorder="1"/>
    <xf numFmtId="0" fontId="22" fillId="5" borderId="19" xfId="3" applyFont="1" applyFill="1" applyBorder="1" applyAlignment="1">
      <alignment horizontal="center" vertical="center" wrapText="1"/>
    </xf>
    <xf numFmtId="0" fontId="21" fillId="0" borderId="19" xfId="3" applyFont="1" applyFill="1" applyBorder="1" applyAlignment="1">
      <alignment horizontal="center" vertical="center" wrapText="1"/>
    </xf>
    <xf numFmtId="0" fontId="21" fillId="0" borderId="19" xfId="3" applyFont="1" applyFill="1" applyBorder="1" applyAlignment="1">
      <alignment horizontal="left" vertical="center" wrapText="1"/>
    </xf>
    <xf numFmtId="165" fontId="21" fillId="0" borderId="19" xfId="3" applyNumberFormat="1" applyFont="1" applyFill="1" applyBorder="1" applyAlignment="1">
      <alignment horizontal="center" wrapText="1"/>
    </xf>
    <xf numFmtId="166" fontId="21" fillId="0" borderId="19" xfId="3" applyNumberFormat="1" applyFont="1" applyFill="1" applyBorder="1" applyAlignment="1">
      <alignment horizontal="center"/>
    </xf>
    <xf numFmtId="166" fontId="21" fillId="0" borderId="19" xfId="3" applyNumberFormat="1" applyFont="1" applyFill="1" applyBorder="1" applyAlignment="1">
      <alignment horizontal="right"/>
    </xf>
    <xf numFmtId="165" fontId="21" fillId="0" borderId="19" xfId="3" applyNumberFormat="1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center" vertical="center" wrapText="1"/>
    </xf>
    <xf numFmtId="165" fontId="22" fillId="0" borderId="19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center"/>
    </xf>
    <xf numFmtId="166" fontId="21" fillId="0" borderId="0" xfId="3" applyNumberFormat="1" applyFont="1" applyFill="1" applyBorder="1" applyAlignment="1">
      <alignment horizontal="right"/>
    </xf>
    <xf numFmtId="0" fontId="22" fillId="5" borderId="7" xfId="3" applyFont="1" applyFill="1" applyBorder="1" applyAlignment="1">
      <alignment horizontal="center" vertical="center" wrapText="1"/>
    </xf>
    <xf numFmtId="0" fontId="22" fillId="5" borderId="6" xfId="3" applyFont="1" applyFill="1" applyBorder="1" applyAlignment="1">
      <alignment horizontal="center" vertical="center" wrapText="1"/>
    </xf>
    <xf numFmtId="164" fontId="21" fillId="0" borderId="6" xfId="1" applyFont="1" applyBorder="1"/>
    <xf numFmtId="165" fontId="22" fillId="5" borderId="6" xfId="3" applyNumberFormat="1" applyFont="1" applyFill="1" applyBorder="1" applyAlignment="1">
      <alignment horizontal="center"/>
    </xf>
    <xf numFmtId="0" fontId="26" fillId="0" borderId="0" xfId="4" applyFont="1" applyFill="1" applyAlignment="1">
      <alignment vertical="center" wrapText="1"/>
    </xf>
    <xf numFmtId="0" fontId="27" fillId="0" borderId="0" xfId="4" applyFont="1" applyFill="1" applyAlignment="1">
      <alignment vertical="center" wrapText="1"/>
    </xf>
    <xf numFmtId="0" fontId="28" fillId="0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vertical="center" wrapText="1"/>
    </xf>
    <xf numFmtId="0" fontId="29" fillId="0" borderId="0" xfId="4" applyFont="1" applyFill="1" applyAlignment="1">
      <alignment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7" fillId="0" borderId="6" xfId="4" applyFont="1" applyFill="1" applyBorder="1" applyAlignment="1">
      <alignment horizontal="center" vertical="center" wrapText="1"/>
    </xf>
    <xf numFmtId="3" fontId="27" fillId="0" borderId="6" xfId="4" applyNumberFormat="1" applyFont="1" applyFill="1" applyBorder="1" applyAlignment="1">
      <alignment horizontal="center" vertical="center" wrapText="1"/>
    </xf>
    <xf numFmtId="167" fontId="28" fillId="0" borderId="6" xfId="5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left" vertical="center" wrapText="1"/>
    </xf>
    <xf numFmtId="167" fontId="28" fillId="0" borderId="0" xfId="5" applyFont="1" applyFill="1" applyBorder="1" applyAlignment="1">
      <alignment horizontal="center" vertical="center" wrapText="1"/>
    </xf>
    <xf numFmtId="168" fontId="28" fillId="0" borderId="0" xfId="4" applyNumberFormat="1" applyFont="1" applyFill="1" applyBorder="1" applyAlignment="1">
      <alignment vertical="center" wrapText="1"/>
    </xf>
    <xf numFmtId="0" fontId="27" fillId="0" borderId="0" xfId="4" applyFont="1" applyFill="1" applyBorder="1" applyAlignment="1">
      <alignment vertical="center" wrapText="1"/>
    </xf>
    <xf numFmtId="0" fontId="26" fillId="0" borderId="0" xfId="4" applyFont="1" applyFill="1" applyBorder="1" applyAlignment="1">
      <alignment vertical="center" wrapText="1"/>
    </xf>
    <xf numFmtId="49" fontId="27" fillId="6" borderId="0" xfId="4" applyNumberFormat="1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vertical="center" wrapText="1"/>
    </xf>
    <xf numFmtId="0" fontId="31" fillId="6" borderId="6" xfId="4" applyFont="1" applyFill="1" applyBorder="1" applyAlignment="1">
      <alignment horizontal="center" vertical="center" wrapText="1"/>
    </xf>
    <xf numFmtId="0" fontId="27" fillId="6" borderId="6" xfId="4" applyFont="1" applyFill="1" applyBorder="1" applyAlignment="1">
      <alignment horizontal="center" vertical="center" wrapText="1"/>
    </xf>
    <xf numFmtId="0" fontId="28" fillId="6" borderId="6" xfId="4" applyFont="1" applyFill="1" applyBorder="1" applyAlignment="1">
      <alignment vertical="center" wrapText="1"/>
    </xf>
    <xf numFmtId="167" fontId="28" fillId="6" borderId="6" xfId="5" applyFont="1" applyFill="1" applyBorder="1" applyAlignment="1">
      <alignment horizontal="center" vertical="center" wrapText="1"/>
    </xf>
    <xf numFmtId="0" fontId="28" fillId="6" borderId="0" xfId="4" applyFont="1" applyFill="1" applyBorder="1" applyAlignment="1">
      <alignment vertical="center" wrapText="1"/>
    </xf>
    <xf numFmtId="167" fontId="28" fillId="6" borderId="0" xfId="5" applyFont="1" applyFill="1" applyBorder="1" applyAlignment="1">
      <alignment horizontal="center" vertical="center" wrapText="1"/>
    </xf>
    <xf numFmtId="0" fontId="31" fillId="6" borderId="33" xfId="4" applyFont="1" applyFill="1" applyBorder="1" applyAlignment="1">
      <alignment horizontal="center" vertical="center" wrapText="1"/>
    </xf>
    <xf numFmtId="0" fontId="27" fillId="6" borderId="22" xfId="4" applyFont="1" applyFill="1" applyBorder="1" applyAlignment="1">
      <alignment horizontal="center" vertical="center" wrapText="1"/>
    </xf>
    <xf numFmtId="4" fontId="27" fillId="6" borderId="22" xfId="4" applyNumberFormat="1" applyFont="1" applyFill="1" applyBorder="1" applyAlignment="1">
      <alignment horizontal="center" vertical="center" wrapText="1"/>
    </xf>
    <xf numFmtId="167" fontId="28" fillId="6" borderId="19" xfId="5" applyFont="1" applyFill="1" applyBorder="1" applyAlignment="1">
      <alignment horizontal="center" vertical="center" wrapText="1"/>
    </xf>
    <xf numFmtId="0" fontId="28" fillId="6" borderId="0" xfId="4" applyFont="1" applyFill="1" applyBorder="1" applyAlignment="1">
      <alignment horizontal="left" vertical="center" wrapText="1"/>
    </xf>
    <xf numFmtId="4" fontId="27" fillId="6" borderId="6" xfId="4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right" vertical="center"/>
    </xf>
    <xf numFmtId="2" fontId="33" fillId="0" borderId="6" xfId="0" applyNumberFormat="1" applyFont="1" applyBorder="1" applyAlignment="1">
      <alignment vertical="center"/>
    </xf>
    <xf numFmtId="4" fontId="33" fillId="0" borderId="6" xfId="0" applyNumberFormat="1" applyFont="1" applyBorder="1" applyAlignment="1">
      <alignment vertical="center"/>
    </xf>
    <xf numFmtId="0" fontId="33" fillId="0" borderId="6" xfId="0" applyFont="1" applyBorder="1" applyAlignment="1">
      <alignment horizontal="right"/>
    </xf>
    <xf numFmtId="4" fontId="34" fillId="8" borderId="6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right" vertical="center"/>
    </xf>
    <xf numFmtId="4" fontId="33" fillId="0" borderId="21" xfId="0" applyNumberFormat="1" applyFont="1" applyBorder="1" applyAlignment="1">
      <alignment horizontal="center" vertical="center"/>
    </xf>
    <xf numFmtId="2" fontId="33" fillId="0" borderId="21" xfId="0" applyNumberFormat="1" applyFont="1" applyBorder="1"/>
    <xf numFmtId="2" fontId="33" fillId="0" borderId="6" xfId="0" applyNumberFormat="1" applyFont="1" applyBorder="1"/>
    <xf numFmtId="4" fontId="34" fillId="0" borderId="6" xfId="0" applyNumberFormat="1" applyFont="1" applyBorder="1" applyAlignment="1">
      <alignment vertical="center"/>
    </xf>
    <xf numFmtId="3" fontId="20" fillId="0" borderId="6" xfId="4" applyNumberFormat="1" applyFont="1" applyFill="1" applyBorder="1" applyAlignment="1">
      <alignment vertical="center" wrapText="1"/>
    </xf>
    <xf numFmtId="1" fontId="35" fillId="0" borderId="6" xfId="4" applyNumberFormat="1" applyFont="1" applyFill="1" applyBorder="1" applyAlignment="1">
      <alignment vertical="center" wrapText="1"/>
    </xf>
    <xf numFmtId="0" fontId="4" fillId="2" borderId="6" xfId="6" applyFont="1" applyFill="1" applyBorder="1" applyAlignment="1">
      <alignment horizontal="left" vertical="center" wrapText="1"/>
    </xf>
    <xf numFmtId="167" fontId="0" fillId="0" borderId="0" xfId="0" applyNumberFormat="1"/>
    <xf numFmtId="168" fontId="0" fillId="0" borderId="0" xfId="0" applyNumberFormat="1"/>
    <xf numFmtId="168" fontId="26" fillId="0" borderId="0" xfId="4" applyNumberFormat="1" applyFont="1" applyFill="1" applyAlignment="1">
      <alignment vertical="center" wrapText="1"/>
    </xf>
    <xf numFmtId="0" fontId="0" fillId="2" borderId="0" xfId="0" applyFill="1"/>
    <xf numFmtId="0" fontId="7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8" fillId="3" borderId="0" xfId="0" applyFont="1" applyFill="1" applyAlignment="1">
      <alignment horizontal="center" vertical="center"/>
    </xf>
    <xf numFmtId="0" fontId="4" fillId="2" borderId="0" xfId="0" applyFont="1" applyFill="1"/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8" fillId="4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14" fontId="7" fillId="4" borderId="8" xfId="0" applyNumberFormat="1" applyFont="1" applyFill="1" applyBorder="1" applyAlignment="1">
      <alignment horizontal="center"/>
    </xf>
    <xf numFmtId="14" fontId="7" fillId="4" borderId="9" xfId="0" applyNumberFormat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4" fillId="2" borderId="9" xfId="1" applyFont="1" applyFill="1" applyBorder="1"/>
    <xf numFmtId="0" fontId="7" fillId="4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/>
    </xf>
    <xf numFmtId="14" fontId="18" fillId="2" borderId="8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22" fillId="0" borderId="6" xfId="3" applyFont="1" applyFill="1" applyBorder="1" applyAlignment="1">
      <alignment horizontal="left"/>
    </xf>
    <xf numFmtId="0" fontId="22" fillId="5" borderId="23" xfId="3" applyFont="1" applyFill="1" applyBorder="1" applyAlignment="1">
      <alignment horizontal="center"/>
    </xf>
    <xf numFmtId="0" fontId="22" fillId="5" borderId="24" xfId="3" applyFont="1" applyFill="1" applyBorder="1" applyAlignment="1">
      <alignment horizontal="center"/>
    </xf>
    <xf numFmtId="0" fontId="22" fillId="5" borderId="7" xfId="3" applyFont="1" applyFill="1" applyBorder="1" applyAlignment="1">
      <alignment horizontal="center"/>
    </xf>
    <xf numFmtId="0" fontId="22" fillId="5" borderId="19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/>
    </xf>
    <xf numFmtId="0" fontId="22" fillId="5" borderId="6" xfId="3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left" vertical="center" wrapText="1"/>
    </xf>
    <xf numFmtId="167" fontId="27" fillId="0" borderId="6" xfId="5" applyFont="1" applyFill="1" applyBorder="1" applyAlignment="1">
      <alignment horizontal="center" vertical="center" wrapText="1"/>
    </xf>
    <xf numFmtId="0" fontId="35" fillId="0" borderId="6" xfId="4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2" borderId="34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Border="1" applyAlignment="1">
      <alignment horizontal="center" vertical="center"/>
    </xf>
    <xf numFmtId="0" fontId="30" fillId="8" borderId="23" xfId="0" applyFont="1" applyFill="1" applyBorder="1" applyAlignment="1">
      <alignment horizontal="left" vertical="center" wrapText="1"/>
    </xf>
    <xf numFmtId="0" fontId="30" fillId="8" borderId="24" xfId="0" applyFont="1" applyFill="1" applyBorder="1" applyAlignment="1">
      <alignment horizontal="left" vertical="center" wrapText="1"/>
    </xf>
    <xf numFmtId="0" fontId="30" fillId="8" borderId="7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center" vertical="center"/>
    </xf>
    <xf numFmtId="0" fontId="35" fillId="8" borderId="6" xfId="4" applyFont="1" applyFill="1" applyBorder="1" applyAlignment="1">
      <alignment horizontal="left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8" fillId="6" borderId="6" xfId="4" applyFont="1" applyFill="1" applyBorder="1" applyAlignment="1">
      <alignment horizontal="left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27" fillId="6" borderId="6" xfId="4" applyFont="1" applyFill="1" applyBorder="1" applyAlignment="1">
      <alignment horizontal="left" vertical="center" wrapText="1"/>
    </xf>
    <xf numFmtId="0" fontId="27" fillId="6" borderId="6" xfId="4" applyFont="1" applyFill="1" applyBorder="1" applyAlignment="1">
      <alignment horizontal="center" vertical="center" wrapText="1"/>
    </xf>
    <xf numFmtId="169" fontId="27" fillId="6" borderId="6" xfId="4" applyNumberFormat="1" applyFont="1" applyFill="1" applyBorder="1" applyAlignment="1">
      <alignment horizontal="center" vertical="center" wrapText="1"/>
    </xf>
    <xf numFmtId="167" fontId="27" fillId="6" borderId="6" xfId="5" applyFont="1" applyFill="1" applyBorder="1" applyAlignment="1">
      <alignment horizontal="center" vertical="center" wrapText="1"/>
    </xf>
    <xf numFmtId="0" fontId="28" fillId="6" borderId="19" xfId="4" applyFont="1" applyFill="1" applyBorder="1" applyAlignment="1">
      <alignment horizontal="left" vertical="center" wrapText="1"/>
    </xf>
    <xf numFmtId="0" fontId="28" fillId="6" borderId="0" xfId="4" applyFont="1" applyFill="1" applyBorder="1" applyAlignment="1">
      <alignment horizontal="center" vertical="center" wrapText="1"/>
    </xf>
    <xf numFmtId="0" fontId="28" fillId="6" borderId="26" xfId="4" applyFont="1" applyFill="1" applyBorder="1" applyAlignment="1">
      <alignment horizontal="center" vertical="center" wrapText="1"/>
    </xf>
    <xf numFmtId="0" fontId="28" fillId="6" borderId="32" xfId="4" applyFont="1" applyFill="1" applyBorder="1" applyAlignment="1">
      <alignment horizontal="left" vertical="center" wrapText="1"/>
    </xf>
    <xf numFmtId="0" fontId="27" fillId="6" borderId="19" xfId="4" applyFont="1" applyFill="1" applyBorder="1" applyAlignment="1">
      <alignment horizontal="left" vertical="center" wrapText="1"/>
    </xf>
    <xf numFmtId="0" fontId="27" fillId="6" borderId="33" xfId="4" applyFont="1" applyFill="1" applyBorder="1" applyAlignment="1">
      <alignment horizontal="center" vertical="center" wrapText="1"/>
    </xf>
    <xf numFmtId="0" fontId="27" fillId="6" borderId="22" xfId="4" applyFont="1" applyFill="1" applyBorder="1" applyAlignment="1">
      <alignment horizontal="center" vertical="center" wrapText="1"/>
    </xf>
    <xf numFmtId="169" fontId="27" fillId="6" borderId="19" xfId="4" applyNumberFormat="1" applyFont="1" applyFill="1" applyBorder="1" applyAlignment="1">
      <alignment horizontal="center" vertical="center" wrapText="1"/>
    </xf>
    <xf numFmtId="167" fontId="27" fillId="6" borderId="19" xfId="5" applyFont="1" applyFill="1" applyBorder="1" applyAlignment="1">
      <alignment horizontal="center" vertical="center" wrapText="1"/>
    </xf>
    <xf numFmtId="169" fontId="27" fillId="6" borderId="0" xfId="4" applyNumberFormat="1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left" vertical="center" wrapText="1"/>
    </xf>
    <xf numFmtId="0" fontId="28" fillId="0" borderId="0" xfId="4" applyFont="1" applyFill="1" applyAlignment="1">
      <alignment horizontal="center" vertical="center" wrapText="1"/>
    </xf>
    <xf numFmtId="0" fontId="28" fillId="0" borderId="26" xfId="4" applyFont="1" applyFill="1" applyBorder="1" applyAlignment="1">
      <alignment horizontal="center" vertical="center" wrapText="1"/>
    </xf>
    <xf numFmtId="0" fontId="28" fillId="0" borderId="29" xfId="4" applyFont="1" applyFill="1" applyBorder="1" applyAlignment="1">
      <alignment horizontal="left" vertical="center" wrapText="1"/>
    </xf>
    <xf numFmtId="0" fontId="28" fillId="0" borderId="30" xfId="4" applyFont="1" applyFill="1" applyBorder="1" applyAlignment="1">
      <alignment horizontal="left" vertical="center" wrapText="1"/>
    </xf>
    <xf numFmtId="0" fontId="28" fillId="0" borderId="31" xfId="4" applyFont="1" applyFill="1" applyBorder="1" applyAlignment="1">
      <alignment horizontal="left" vertical="center" wrapText="1"/>
    </xf>
    <xf numFmtId="0" fontId="27" fillId="0" borderId="20" xfId="4" applyFont="1" applyFill="1" applyBorder="1" applyAlignment="1">
      <alignment horizontal="left" vertical="center" wrapText="1"/>
    </xf>
    <xf numFmtId="0" fontId="27" fillId="0" borderId="21" xfId="4" applyFont="1" applyFill="1" applyBorder="1" applyAlignment="1">
      <alignment horizontal="left" vertical="center" wrapText="1"/>
    </xf>
    <xf numFmtId="167" fontId="27" fillId="0" borderId="20" xfId="5" applyFont="1" applyFill="1" applyBorder="1" applyAlignment="1">
      <alignment horizontal="center" vertical="center" wrapText="1"/>
    </xf>
    <xf numFmtId="167" fontId="27" fillId="0" borderId="21" xfId="5" applyFont="1" applyFill="1" applyBorder="1" applyAlignment="1">
      <alignment horizontal="center" vertical="center" wrapText="1"/>
    </xf>
    <xf numFmtId="0" fontId="30" fillId="7" borderId="37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horizontal="center" vertical="center" wrapText="1"/>
    </xf>
    <xf numFmtId="0" fontId="24" fillId="0" borderId="25" xfId="4" applyFont="1" applyFill="1" applyBorder="1" applyAlignment="1">
      <alignment horizontal="center" vertical="center" wrapText="1"/>
    </xf>
    <xf numFmtId="0" fontId="24" fillId="0" borderId="0" xfId="4" applyFont="1" applyFill="1" applyBorder="1" applyAlignment="1">
      <alignment horizontal="center" vertical="center" wrapText="1"/>
    </xf>
    <xf numFmtId="0" fontId="1" fillId="2" borderId="0" xfId="54" applyFill="1"/>
    <xf numFmtId="164" fontId="1" fillId="2" borderId="10" xfId="1" applyFont="1" applyFill="1" applyBorder="1"/>
    <xf numFmtId="0" fontId="8" fillId="2" borderId="0" xfId="0" applyFont="1" applyFill="1" applyBorder="1" applyAlignment="1"/>
    <xf numFmtId="0" fontId="52" fillId="2" borderId="10" xfId="54" applyFont="1" applyFill="1" applyBorder="1" applyAlignment="1">
      <alignment horizontal="center" vertical="center" wrapText="1"/>
    </xf>
    <xf numFmtId="0" fontId="54" fillId="2" borderId="0" xfId="54" applyFont="1" applyFill="1" applyAlignment="1">
      <alignment horizontal="center" vertical="center"/>
    </xf>
    <xf numFmtId="0" fontId="53" fillId="2" borderId="10" xfId="54" applyFont="1" applyFill="1" applyBorder="1" applyAlignment="1">
      <alignment horizontal="left" vertical="center" wrapText="1"/>
    </xf>
    <xf numFmtId="0" fontId="52" fillId="2" borderId="10" xfId="54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44" fontId="8" fillId="2" borderId="0" xfId="1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50" fillId="2" borderId="8" xfId="54" applyFont="1" applyFill="1" applyBorder="1" applyAlignment="1">
      <alignment horizontal="center" vertical="center"/>
    </xf>
    <xf numFmtId="0" fontId="50" fillId="2" borderId="10" xfId="54" applyFont="1" applyFill="1" applyBorder="1" applyAlignment="1">
      <alignment horizontal="center" vertical="center" wrapText="1"/>
    </xf>
    <xf numFmtId="0" fontId="50" fillId="2" borderId="11" xfId="54" applyFont="1" applyFill="1" applyBorder="1" applyAlignment="1">
      <alignment horizontal="center" vertical="center"/>
    </xf>
    <xf numFmtId="0" fontId="50" fillId="2" borderId="8" xfId="54" applyFont="1" applyFill="1" applyBorder="1" applyAlignment="1">
      <alignment horizontal="center" vertical="center" wrapText="1"/>
    </xf>
    <xf numFmtId="0" fontId="1" fillId="2" borderId="10" xfId="54" applyFont="1" applyFill="1" applyBorder="1" applyAlignment="1">
      <alignment horizontal="center" vertical="center"/>
    </xf>
    <xf numFmtId="0" fontId="1" fillId="2" borderId="10" xfId="54" applyFont="1" applyFill="1" applyBorder="1" applyAlignment="1">
      <alignment horizontal="center" vertical="center" wrapText="1"/>
    </xf>
    <xf numFmtId="0" fontId="59" fillId="2" borderId="10" xfId="54" applyFont="1" applyFill="1" applyBorder="1" applyAlignment="1">
      <alignment horizontal="center" wrapText="1"/>
    </xf>
    <xf numFmtId="4" fontId="1" fillId="2" borderId="10" xfId="54" applyNumberFormat="1" applyFont="1" applyFill="1" applyBorder="1" applyAlignment="1">
      <alignment horizontal="center" wrapText="1"/>
    </xf>
    <xf numFmtId="4" fontId="1" fillId="2" borderId="10" xfId="54" applyNumberFormat="1" applyFont="1" applyFill="1" applyBorder="1"/>
    <xf numFmtId="0" fontId="50" fillId="2" borderId="10" xfId="54" applyFont="1" applyFill="1" applyBorder="1" applyAlignment="1">
      <alignment horizontal="center" vertical="center"/>
    </xf>
    <xf numFmtId="0" fontId="53" fillId="2" borderId="10" xfId="54" applyFont="1" applyFill="1" applyBorder="1" applyAlignment="1">
      <alignment vertical="center" wrapText="1"/>
    </xf>
    <xf numFmtId="0" fontId="59" fillId="2" borderId="10" xfId="54" applyFont="1" applyFill="1" applyBorder="1" applyAlignment="1">
      <alignment horizontal="center" vertical="center" wrapText="1"/>
    </xf>
    <xf numFmtId="0" fontId="1" fillId="2" borderId="10" xfId="54" applyFont="1" applyFill="1" applyBorder="1" applyAlignment="1">
      <alignment horizontal="center" wrapText="1"/>
    </xf>
    <xf numFmtId="2" fontId="1" fillId="2" borderId="10" xfId="54" applyNumberFormat="1" applyFont="1" applyFill="1" applyBorder="1" applyAlignment="1">
      <alignment horizontal="center" wrapText="1"/>
    </xf>
    <xf numFmtId="0" fontId="50" fillId="2" borderId="10" xfId="54" applyFont="1" applyFill="1" applyBorder="1" applyAlignment="1">
      <alignment horizontal="center" wrapText="1"/>
    </xf>
    <xf numFmtId="0" fontId="53" fillId="2" borderId="10" xfId="54" applyFont="1" applyFill="1" applyBorder="1" applyAlignment="1">
      <alignment horizontal="center" vertical="center" wrapText="1"/>
    </xf>
    <xf numFmtId="2" fontId="53" fillId="2" borderId="10" xfId="54" applyNumberFormat="1" applyFont="1" applyFill="1" applyBorder="1" applyAlignment="1">
      <alignment horizontal="center" vertical="center" wrapText="1"/>
    </xf>
    <xf numFmtId="0" fontId="53" fillId="2" borderId="10" xfId="54" applyFont="1" applyFill="1" applyBorder="1" applyAlignment="1">
      <alignment horizontal="center" wrapText="1"/>
    </xf>
    <xf numFmtId="2" fontId="53" fillId="2" borderId="10" xfId="54" applyNumberFormat="1" applyFont="1" applyFill="1" applyBorder="1" applyAlignment="1">
      <alignment horizontal="center" wrapText="1"/>
    </xf>
    <xf numFmtId="0" fontId="1" fillId="2" borderId="10" xfId="54" applyFont="1" applyFill="1" applyBorder="1" applyAlignment="1">
      <alignment vertical="center" wrapText="1"/>
    </xf>
    <xf numFmtId="0" fontId="55" fillId="2" borderId="10" xfId="54" applyFont="1" applyFill="1" applyBorder="1" applyAlignment="1">
      <alignment vertical="center" wrapText="1"/>
    </xf>
    <xf numFmtId="0" fontId="55" fillId="2" borderId="10" xfId="54" applyFont="1" applyFill="1" applyBorder="1" applyAlignment="1">
      <alignment wrapText="1"/>
    </xf>
    <xf numFmtId="0" fontId="51" fillId="2" borderId="8" xfId="54" applyFont="1" applyFill="1" applyBorder="1" applyAlignment="1">
      <alignment horizontal="center" vertical="center"/>
    </xf>
    <xf numFmtId="0" fontId="58" fillId="2" borderId="11" xfId="54" applyFont="1" applyFill="1" applyBorder="1" applyAlignment="1">
      <alignment horizontal="center" vertical="center"/>
    </xf>
    <xf numFmtId="0" fontId="54" fillId="2" borderId="10" xfId="54" applyFont="1" applyFill="1" applyBorder="1" applyAlignment="1">
      <alignment horizontal="center" vertical="center"/>
    </xf>
    <xf numFmtId="0" fontId="51" fillId="2" borderId="10" xfId="54" applyFont="1" applyFill="1" applyBorder="1" applyAlignment="1">
      <alignment horizontal="center" vertical="center"/>
    </xf>
    <xf numFmtId="0" fontId="4" fillId="2" borderId="10" xfId="54" applyFont="1" applyFill="1" applyBorder="1" applyAlignment="1">
      <alignment vertical="center" wrapText="1"/>
    </xf>
    <xf numFmtId="0" fontId="52" fillId="2" borderId="10" xfId="54" applyFont="1" applyFill="1" applyBorder="1" applyAlignment="1">
      <alignment horizontal="center" vertical="center"/>
    </xf>
    <xf numFmtId="0" fontId="1" fillId="2" borderId="0" xfId="54" applyFont="1" applyFill="1" applyAlignment="1">
      <alignment horizontal="center" vertical="center"/>
    </xf>
    <xf numFmtId="0" fontId="53" fillId="2" borderId="0" xfId="54" applyFont="1" applyFill="1" applyAlignment="1">
      <alignment horizontal="center" vertical="center"/>
    </xf>
  </cellXfs>
  <cellStyles count="5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Currency" xfId="14" xr:uid="{00000000-0005-0000-0000-000006000000}"/>
    <cellStyle name="Excel Built-in Percent" xfId="15" xr:uid="{00000000-0005-0000-0000-000007000000}"/>
    <cellStyle name="Footnote" xfId="16" xr:uid="{00000000-0005-0000-0000-000008000000}"/>
    <cellStyle name="Good" xfId="17" xr:uid="{00000000-0005-0000-0000-000009000000}"/>
    <cellStyle name="Heading (user)" xfId="18" xr:uid="{00000000-0005-0000-0000-00000A000000}"/>
    <cellStyle name="Heading 1" xfId="19" xr:uid="{00000000-0005-0000-0000-00000B000000}"/>
    <cellStyle name="Heading 2" xfId="20" xr:uid="{00000000-0005-0000-0000-00000C000000}"/>
    <cellStyle name="Hiperlink" xfId="21" xr:uid="{00000000-0005-0000-0000-00000D000000}"/>
    <cellStyle name="Hyperlink" xfId="22" xr:uid="{00000000-0005-0000-0000-00000E000000}"/>
    <cellStyle name="Moeda" xfId="1" builtinId="4"/>
    <cellStyle name="Moeda 2" xfId="23" xr:uid="{00000000-0005-0000-0000-000010000000}"/>
    <cellStyle name="Moeda 2 2" xfId="51" xr:uid="{00000000-0005-0000-0000-000011000000}"/>
    <cellStyle name="Moeda 2 3" xfId="24" xr:uid="{00000000-0005-0000-0000-000012000000}"/>
    <cellStyle name="Moeda 2 4" xfId="49" xr:uid="{00000000-0005-0000-0000-000013000000}"/>
    <cellStyle name="Moeda 2 5" xfId="55" xr:uid="{204753E1-2B69-4188-AE81-B0AAEE59F61A}"/>
    <cellStyle name="Moeda 3" xfId="25" xr:uid="{00000000-0005-0000-0000-000014000000}"/>
    <cellStyle name="Moeda 4" xfId="44" xr:uid="{00000000-0005-0000-0000-000015000000}"/>
    <cellStyle name="Moeda 5" xfId="26" xr:uid="{00000000-0005-0000-0000-000016000000}"/>
    <cellStyle name="Moeda 6" xfId="7" xr:uid="{00000000-0005-0000-0000-000017000000}"/>
    <cellStyle name="Moeda 7" xfId="56" xr:uid="{D11D27E5-BF38-408E-BF15-A9BA6A6EDAB9}"/>
    <cellStyle name="Moeda_Prop203 PE022 MCT  limpeza" xfId="5" xr:uid="{00000000-0005-0000-0000-000018000000}"/>
    <cellStyle name="Neutral" xfId="27" xr:uid="{00000000-0005-0000-0000-000019000000}"/>
    <cellStyle name="Normal" xfId="0" builtinId="0"/>
    <cellStyle name="Normal 10" xfId="54" xr:uid="{EC7D2670-1E41-4384-862E-53C4ECBF84CC}"/>
    <cellStyle name="Normal 2" xfId="28" xr:uid="{00000000-0005-0000-0000-00001B000000}"/>
    <cellStyle name="Normal 2 2" xfId="50" xr:uid="{00000000-0005-0000-0000-00001C000000}"/>
    <cellStyle name="Normal 2 2 2" xfId="53" xr:uid="{00000000-0005-0000-0000-00001D000000}"/>
    <cellStyle name="Normal 2 3" xfId="48" xr:uid="{00000000-0005-0000-0000-00001E000000}"/>
    <cellStyle name="Normal 3" xfId="29" xr:uid="{00000000-0005-0000-0000-00001F000000}"/>
    <cellStyle name="Normal 4" xfId="3" xr:uid="{00000000-0005-0000-0000-000020000000}"/>
    <cellStyle name="Normal 5" xfId="30" xr:uid="{00000000-0005-0000-0000-000021000000}"/>
    <cellStyle name="Normal 5 2" xfId="31" xr:uid="{00000000-0005-0000-0000-000022000000}"/>
    <cellStyle name="Normal 6" xfId="32" xr:uid="{00000000-0005-0000-0000-000023000000}"/>
    <cellStyle name="Normal 7" xfId="33" xr:uid="{00000000-0005-0000-0000-000024000000}"/>
    <cellStyle name="Normal 8" xfId="43" xr:uid="{00000000-0005-0000-0000-000025000000}"/>
    <cellStyle name="Normal 9" xfId="6" xr:uid="{00000000-0005-0000-0000-000026000000}"/>
    <cellStyle name="Normal_Prop203 PE022 MCT  limpeza" xfId="4" xr:uid="{00000000-0005-0000-0000-000027000000}"/>
    <cellStyle name="Note" xfId="34" xr:uid="{00000000-0005-0000-0000-000028000000}"/>
    <cellStyle name="Porcentagem" xfId="2" builtinId="5"/>
    <cellStyle name="Porcentagem 2" xfId="45" xr:uid="{00000000-0005-0000-0000-00002A000000}"/>
    <cellStyle name="Separador de milhares 2 2" xfId="35" xr:uid="{00000000-0005-0000-0000-00002B000000}"/>
    <cellStyle name="Status" xfId="36" xr:uid="{00000000-0005-0000-0000-00002C000000}"/>
    <cellStyle name="Text" xfId="37" xr:uid="{00000000-0005-0000-0000-00002D000000}"/>
    <cellStyle name="Título 1 1" xfId="46" xr:uid="{00000000-0005-0000-0000-00002E000000}"/>
    <cellStyle name="Vírgula 2" xfId="38" xr:uid="{00000000-0005-0000-0000-00002F000000}"/>
    <cellStyle name="Vírgula 2 2" xfId="39" xr:uid="{00000000-0005-0000-0000-000030000000}"/>
    <cellStyle name="Vírgula 2 3" xfId="40" xr:uid="{00000000-0005-0000-0000-000031000000}"/>
    <cellStyle name="Vírgula 3" xfId="47" xr:uid="{00000000-0005-0000-0000-000032000000}"/>
    <cellStyle name="Vírgula 4" xfId="41" xr:uid="{00000000-0005-0000-0000-000033000000}"/>
    <cellStyle name="Vírgula 5" xfId="52" xr:uid="{00000000-0005-0000-0000-000034000000}"/>
    <cellStyle name="Warning" xfId="4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icaest\Desktop\PLANILHA%20PBGAS%20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icaest\Desktop\COMERCIAL\P%20B%20G%20A%20S\PLANILHA%20PBGAS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SG"/>
      <sheetName val="OFFICE BOY"/>
      <sheetName val="MOTORISTA"/>
      <sheetName val="ALMOXARIFE"/>
      <sheetName val="COPEIRA"/>
      <sheetName val="RECEPCIONISTA"/>
      <sheetName val="SUPERVISOR"/>
      <sheetName val="ARTIFICE"/>
    </sheetNames>
    <sheetDataSet>
      <sheetData sheetId="0" refreshError="1"/>
      <sheetData sheetId="1" refreshError="1">
        <row r="101">
          <cell r="J101">
            <v>629806.91999999993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SG"/>
      <sheetName val="OFFICE BOY"/>
      <sheetName val="MOTORISTA"/>
      <sheetName val="ALMOXARIFE"/>
      <sheetName val="COPEIRA"/>
      <sheetName val="RECEPCIONISTA"/>
      <sheetName val="SUPERVISOR"/>
      <sheetName val="ARTIFICE"/>
      <sheetName val="1"/>
    </sheetNames>
    <sheetDataSet>
      <sheetData sheetId="0" refreshError="1"/>
      <sheetData sheetId="1" refreshError="1">
        <row r="100">
          <cell r="G100">
            <v>590474.04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Normal="100" workbookViewId="0">
      <selection activeCell="D101" sqref="D101"/>
    </sheetView>
  </sheetViews>
  <sheetFormatPr defaultColWidth="12.625" defaultRowHeight="15" customHeight="1"/>
  <cols>
    <col min="1" max="1" width="8" style="7" customWidth="1"/>
    <col min="2" max="2" width="49.5" style="7" customWidth="1"/>
    <col min="3" max="3" width="15.5" style="7" customWidth="1"/>
    <col min="4" max="4" width="12.5" style="7" customWidth="1"/>
    <col min="5" max="7" width="12.625" style="7"/>
    <col min="8" max="9" width="13.625" style="7" bestFit="1" customWidth="1"/>
    <col min="10" max="16384" width="12.625" style="7"/>
  </cols>
  <sheetData>
    <row r="1" spans="1:4" ht="14.25" customHeight="1">
      <c r="A1" s="156"/>
      <c r="B1" s="157"/>
      <c r="C1" s="157"/>
      <c r="D1" s="157"/>
    </row>
    <row r="2" spans="1:4" ht="14.25" customHeight="1">
      <c r="A2" s="8"/>
      <c r="B2" s="8"/>
      <c r="C2" s="8"/>
      <c r="D2" s="8"/>
    </row>
    <row r="3" spans="1:4" ht="14.25" customHeight="1" thickBot="1">
      <c r="A3" s="143" t="s">
        <v>0</v>
      </c>
      <c r="B3" s="144"/>
      <c r="C3" s="144"/>
      <c r="D3" s="144"/>
    </row>
    <row r="4" spans="1:4" ht="14.25" customHeight="1" thickBot="1">
      <c r="A4" s="9" t="s">
        <v>1</v>
      </c>
      <c r="B4" s="10" t="s">
        <v>2</v>
      </c>
      <c r="C4" s="158">
        <v>44692</v>
      </c>
      <c r="D4" s="159"/>
    </row>
    <row r="5" spans="1:4" ht="14.25" customHeight="1" thickBot="1">
      <c r="A5" s="9" t="s">
        <v>3</v>
      </c>
      <c r="B5" s="10" t="s">
        <v>4</v>
      </c>
      <c r="C5" s="162" t="s">
        <v>123</v>
      </c>
      <c r="D5" s="163"/>
    </row>
    <row r="6" spans="1:4" ht="14.25" customHeight="1" thickBot="1">
      <c r="A6" s="9" t="s">
        <v>5</v>
      </c>
      <c r="B6" s="10" t="s">
        <v>6</v>
      </c>
      <c r="C6" s="154" t="s">
        <v>147</v>
      </c>
      <c r="D6" s="148"/>
    </row>
    <row r="7" spans="1:4" ht="14.25" customHeight="1">
      <c r="A7" s="9" t="s">
        <v>7</v>
      </c>
      <c r="B7" s="10" t="s">
        <v>8</v>
      </c>
      <c r="C7" s="154">
        <v>12</v>
      </c>
      <c r="D7" s="148"/>
    </row>
    <row r="8" spans="1:4" ht="14.25" customHeight="1">
      <c r="A8" s="8"/>
      <c r="B8" s="8"/>
      <c r="C8" s="8"/>
      <c r="D8" s="8"/>
    </row>
    <row r="9" spans="1:4" ht="14.25" customHeight="1" thickBot="1">
      <c r="A9" s="143" t="s">
        <v>9</v>
      </c>
      <c r="B9" s="144"/>
      <c r="C9" s="144"/>
      <c r="D9" s="144"/>
    </row>
    <row r="10" spans="1:4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ht="14.25" customHeight="1">
      <c r="A11" s="154" t="s">
        <v>113</v>
      </c>
      <c r="B11" s="148"/>
      <c r="C11" s="9" t="s">
        <v>141</v>
      </c>
      <c r="D11" s="9">
        <v>3</v>
      </c>
    </row>
    <row r="12" spans="1:4" ht="14.25" customHeight="1" thickBot="1">
      <c r="A12" s="8"/>
      <c r="B12" s="8"/>
      <c r="C12" s="8"/>
      <c r="D12" s="8"/>
    </row>
    <row r="13" spans="1:4" ht="14.25" customHeight="1" thickBot="1">
      <c r="A13" s="9">
        <v>1</v>
      </c>
      <c r="B13" s="10" t="s">
        <v>14</v>
      </c>
      <c r="C13" s="154" t="str">
        <f>A11</f>
        <v>Limpeza e conservação</v>
      </c>
      <c r="D13" s="148"/>
    </row>
    <row r="14" spans="1:4" ht="14.25" customHeight="1">
      <c r="A14" s="9">
        <v>2</v>
      </c>
      <c r="B14" s="10" t="s">
        <v>15</v>
      </c>
      <c r="C14" s="154" t="s">
        <v>112</v>
      </c>
      <c r="D14" s="148"/>
    </row>
    <row r="15" spans="1:4" ht="14.25" customHeight="1">
      <c r="A15" s="9">
        <v>3</v>
      </c>
      <c r="B15" s="10" t="s">
        <v>16</v>
      </c>
      <c r="C15" s="160"/>
      <c r="D15" s="161"/>
    </row>
    <row r="16" spans="1:4" ht="14.25" customHeight="1">
      <c r="A16" s="9">
        <v>4</v>
      </c>
      <c r="B16" s="10" t="s">
        <v>17</v>
      </c>
      <c r="C16" s="154" t="s">
        <v>114</v>
      </c>
      <c r="D16" s="148"/>
    </row>
    <row r="17" spans="1:4" ht="14.25" customHeight="1">
      <c r="A17" s="9">
        <v>5</v>
      </c>
      <c r="B17" s="10" t="s">
        <v>18</v>
      </c>
      <c r="C17" s="155" t="s">
        <v>110</v>
      </c>
      <c r="D17" s="148"/>
    </row>
    <row r="18" spans="1:4" ht="14.25" customHeight="1">
      <c r="A18" s="8"/>
      <c r="B18" s="8"/>
      <c r="C18" s="8"/>
      <c r="D18" s="8"/>
    </row>
    <row r="19" spans="1:4" ht="14.25" customHeight="1" thickBot="1">
      <c r="A19" s="143" t="s">
        <v>19</v>
      </c>
      <c r="B19" s="144"/>
      <c r="C19" s="144"/>
      <c r="D19" s="144"/>
    </row>
    <row r="20" spans="1:4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4" ht="14.25" customHeight="1">
      <c r="A21" s="14" t="s">
        <v>1</v>
      </c>
      <c r="B21" s="141" t="s">
        <v>22</v>
      </c>
      <c r="C21" s="142"/>
      <c r="D21" s="41">
        <f>C15</f>
        <v>0</v>
      </c>
    </row>
    <row r="22" spans="1:4" ht="14.25" customHeight="1">
      <c r="A22" s="14" t="s">
        <v>3</v>
      </c>
      <c r="B22" s="141" t="s">
        <v>23</v>
      </c>
      <c r="C22" s="142"/>
      <c r="D22" s="41"/>
    </row>
    <row r="23" spans="1:4" ht="14.25" customHeight="1">
      <c r="A23" s="14" t="s">
        <v>5</v>
      </c>
      <c r="B23" s="141" t="s">
        <v>24</v>
      </c>
      <c r="C23" s="142"/>
      <c r="D23" s="41"/>
    </row>
    <row r="24" spans="1:4" ht="14.25" customHeight="1">
      <c r="A24" s="14" t="s">
        <v>7</v>
      </c>
      <c r="B24" s="141" t="s">
        <v>25</v>
      </c>
      <c r="C24" s="142"/>
      <c r="D24" s="41"/>
    </row>
    <row r="25" spans="1:4" ht="14.25" customHeight="1">
      <c r="A25" s="14" t="s">
        <v>26</v>
      </c>
      <c r="B25" s="141" t="s">
        <v>27</v>
      </c>
      <c r="C25" s="142"/>
      <c r="D25" s="41"/>
    </row>
    <row r="26" spans="1:4" ht="14.25" customHeight="1">
      <c r="A26" s="14"/>
      <c r="B26" s="141"/>
      <c r="C26" s="142"/>
      <c r="D26" s="41"/>
    </row>
    <row r="27" spans="1:4" ht="14.25" customHeight="1">
      <c r="A27" s="14" t="s">
        <v>28</v>
      </c>
      <c r="B27" s="153" t="s">
        <v>29</v>
      </c>
      <c r="C27" s="142"/>
      <c r="D27" s="41"/>
    </row>
    <row r="28" spans="1:4" ht="14.25" customHeight="1">
      <c r="A28" s="147" t="s">
        <v>30</v>
      </c>
      <c r="B28" s="150"/>
      <c r="C28" s="148"/>
      <c r="D28" s="42">
        <f>SUM(D21:D27)</f>
        <v>0</v>
      </c>
    </row>
    <row r="29" spans="1:4" ht="14.25" customHeight="1">
      <c r="A29" s="8"/>
      <c r="B29" s="8"/>
      <c r="C29" s="8"/>
      <c r="D29" s="8"/>
    </row>
    <row r="30" spans="1:4" ht="14.25" customHeight="1">
      <c r="A30" s="143" t="s">
        <v>31</v>
      </c>
      <c r="B30" s="144"/>
      <c r="C30" s="144"/>
      <c r="D30" s="144"/>
    </row>
    <row r="31" spans="1:4" ht="14.25" customHeight="1" thickBot="1">
      <c r="A31" s="151" t="s">
        <v>32</v>
      </c>
      <c r="B31" s="144"/>
      <c r="C31" s="144"/>
      <c r="D31" s="144"/>
    </row>
    <row r="32" spans="1:4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6" ht="14.25" customHeight="1">
      <c r="A33" s="14" t="s">
        <v>1</v>
      </c>
      <c r="B33" s="141" t="s">
        <v>35</v>
      </c>
      <c r="C33" s="142"/>
      <c r="D33" s="42">
        <f>D28*8.33%</f>
        <v>0</v>
      </c>
    </row>
    <row r="34" spans="1:6" ht="14.25" customHeight="1">
      <c r="A34" s="14" t="s">
        <v>3</v>
      </c>
      <c r="B34" s="153" t="s">
        <v>36</v>
      </c>
      <c r="C34" s="142"/>
      <c r="D34" s="42">
        <f>D28*12.1%</f>
        <v>0</v>
      </c>
    </row>
    <row r="35" spans="1:6" ht="14.25" customHeight="1">
      <c r="A35" s="147" t="s">
        <v>30</v>
      </c>
      <c r="B35" s="150"/>
      <c r="C35" s="148"/>
      <c r="D35" s="42">
        <f>SUM(D33:D34)</f>
        <v>0</v>
      </c>
    </row>
    <row r="36" spans="1:6" ht="14.25" customHeight="1">
      <c r="A36" s="8"/>
      <c r="B36" s="8"/>
      <c r="C36" s="8"/>
      <c r="D36" s="8"/>
    </row>
    <row r="37" spans="1:6" ht="32.25" customHeight="1" thickBot="1">
      <c r="A37" s="171" t="s">
        <v>37</v>
      </c>
      <c r="B37" s="144"/>
      <c r="C37" s="144"/>
      <c r="D37" s="144"/>
    </row>
    <row r="38" spans="1:6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6" ht="14.25" customHeight="1">
      <c r="A39" s="14" t="s">
        <v>1</v>
      </c>
      <c r="B39" s="17" t="s">
        <v>41</v>
      </c>
      <c r="C39" s="18">
        <v>0.2</v>
      </c>
      <c r="D39" s="42">
        <f>F39*C39</f>
        <v>0</v>
      </c>
      <c r="F39" s="43">
        <f>D28+D35</f>
        <v>0</v>
      </c>
    </row>
    <row r="40" spans="1:6" ht="14.25" customHeight="1">
      <c r="A40" s="14" t="s">
        <v>3</v>
      </c>
      <c r="B40" s="17" t="s">
        <v>42</v>
      </c>
      <c r="C40" s="18">
        <v>2.5000000000000001E-2</v>
      </c>
      <c r="D40" s="42">
        <f>F39*C40</f>
        <v>0</v>
      </c>
    </row>
    <row r="41" spans="1:6" ht="14.25" customHeight="1">
      <c r="A41" s="14" t="s">
        <v>5</v>
      </c>
      <c r="B41" s="17" t="s">
        <v>43</v>
      </c>
      <c r="C41" s="19">
        <v>0.03</v>
      </c>
      <c r="D41" s="42">
        <f>F39*C41</f>
        <v>0</v>
      </c>
    </row>
    <row r="42" spans="1:6" ht="14.25" customHeight="1">
      <c r="A42" s="14" t="s">
        <v>7</v>
      </c>
      <c r="B42" s="17" t="s">
        <v>44</v>
      </c>
      <c r="C42" s="18">
        <v>1.4999999999999999E-2</v>
      </c>
      <c r="D42" s="42">
        <f>F39*C42</f>
        <v>0</v>
      </c>
    </row>
    <row r="43" spans="1:6" ht="14.25" customHeight="1">
      <c r="A43" s="14" t="s">
        <v>26</v>
      </c>
      <c r="B43" s="17" t="s">
        <v>45</v>
      </c>
      <c r="C43" s="18">
        <v>0.01</v>
      </c>
      <c r="D43" s="42">
        <f>F39*C43</f>
        <v>0</v>
      </c>
    </row>
    <row r="44" spans="1:6" ht="14.25" customHeight="1">
      <c r="A44" s="14" t="s">
        <v>46</v>
      </c>
      <c r="B44" s="17" t="s">
        <v>47</v>
      </c>
      <c r="C44" s="18">
        <v>6.0000000000000001E-3</v>
      </c>
      <c r="D44" s="42">
        <f>F39*C44</f>
        <v>0</v>
      </c>
    </row>
    <row r="45" spans="1:6" ht="14.25" customHeight="1">
      <c r="A45" s="14" t="s">
        <v>28</v>
      </c>
      <c r="B45" s="17" t="s">
        <v>48</v>
      </c>
      <c r="C45" s="18">
        <v>2E-3</v>
      </c>
      <c r="D45" s="42">
        <f>F39*C45</f>
        <v>0</v>
      </c>
    </row>
    <row r="46" spans="1:6" ht="14.25" customHeight="1">
      <c r="A46" s="14" t="s">
        <v>49</v>
      </c>
      <c r="B46" s="17" t="s">
        <v>50</v>
      </c>
      <c r="C46" s="18">
        <v>0.08</v>
      </c>
      <c r="D46" s="42">
        <f>F39*C46</f>
        <v>0</v>
      </c>
    </row>
    <row r="47" spans="1:6" ht="14.25" customHeigh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0</v>
      </c>
    </row>
    <row r="48" spans="1:6" ht="14.25" customHeight="1">
      <c r="A48" s="8"/>
      <c r="B48" s="8"/>
      <c r="C48" s="8"/>
      <c r="D48" s="8"/>
    </row>
    <row r="49" spans="1:8" ht="14.25" customHeight="1" thickBot="1">
      <c r="A49" s="172" t="s">
        <v>52</v>
      </c>
      <c r="B49" s="144"/>
      <c r="C49" s="144"/>
      <c r="D49" s="144"/>
    </row>
    <row r="50" spans="1:8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8" ht="14.25" customHeight="1">
      <c r="A51" s="14" t="s">
        <v>1</v>
      </c>
      <c r="B51" s="165" t="s">
        <v>55</v>
      </c>
      <c r="C51" s="148"/>
      <c r="D51" s="41"/>
      <c r="H51" s="7">
        <f>4.1+5.6</f>
        <v>9.6999999999999993</v>
      </c>
    </row>
    <row r="52" spans="1:8" ht="14.25" customHeight="1">
      <c r="A52" s="14" t="s">
        <v>3</v>
      </c>
      <c r="B52" s="165" t="s">
        <v>56</v>
      </c>
      <c r="C52" s="148"/>
      <c r="D52" s="44"/>
      <c r="H52" s="7">
        <f>H51/2</f>
        <v>4.8499999999999996</v>
      </c>
    </row>
    <row r="53" spans="1:8" ht="14.25" customHeight="1">
      <c r="A53" s="20" t="s">
        <v>5</v>
      </c>
      <c r="B53" s="166" t="s">
        <v>124</v>
      </c>
      <c r="C53" s="148"/>
      <c r="D53" s="44"/>
    </row>
    <row r="54" spans="1:8" ht="14.25" customHeight="1">
      <c r="A54" s="20" t="s">
        <v>7</v>
      </c>
      <c r="B54" s="166" t="s">
        <v>115</v>
      </c>
      <c r="C54" s="148"/>
      <c r="D54" s="41"/>
    </row>
    <row r="55" spans="1:8" ht="14.25" customHeight="1">
      <c r="A55" s="21" t="s">
        <v>26</v>
      </c>
      <c r="B55" s="167" t="s">
        <v>127</v>
      </c>
      <c r="C55" s="148"/>
      <c r="D55" s="41"/>
    </row>
    <row r="56" spans="1:8" ht="14.25" customHeight="1">
      <c r="A56" s="147" t="s">
        <v>30</v>
      </c>
      <c r="B56" s="150"/>
      <c r="C56" s="148"/>
      <c r="D56" s="41">
        <f>SUM(D51:D55)</f>
        <v>0</v>
      </c>
    </row>
    <row r="57" spans="1:8" ht="14.25" customHeight="1">
      <c r="A57" s="8"/>
      <c r="B57" s="8"/>
      <c r="C57" s="8"/>
      <c r="D57" s="8"/>
    </row>
    <row r="58" spans="1:8" ht="14.25" customHeight="1" thickBot="1">
      <c r="A58" s="151" t="s">
        <v>57</v>
      </c>
      <c r="B58" s="144"/>
      <c r="C58" s="144"/>
      <c r="D58" s="144"/>
    </row>
    <row r="59" spans="1:8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8" ht="14.25" customHeight="1">
      <c r="A60" s="14" t="s">
        <v>33</v>
      </c>
      <c r="B60" s="165" t="s">
        <v>34</v>
      </c>
      <c r="C60" s="148"/>
      <c r="D60" s="41">
        <f>D35</f>
        <v>0</v>
      </c>
    </row>
    <row r="61" spans="1:8" ht="14.25" customHeight="1">
      <c r="A61" s="14" t="s">
        <v>38</v>
      </c>
      <c r="B61" s="165" t="s">
        <v>39</v>
      </c>
      <c r="C61" s="148"/>
      <c r="D61" s="41">
        <f>D47</f>
        <v>0</v>
      </c>
    </row>
    <row r="62" spans="1:8" ht="14.25" customHeight="1">
      <c r="A62" s="22" t="s">
        <v>53</v>
      </c>
      <c r="B62" s="170" t="s">
        <v>54</v>
      </c>
      <c r="C62" s="148"/>
      <c r="D62" s="41">
        <f>D56</f>
        <v>0</v>
      </c>
    </row>
    <row r="63" spans="1:8" ht="14.25" customHeight="1">
      <c r="A63" s="147" t="s">
        <v>30</v>
      </c>
      <c r="B63" s="150"/>
      <c r="C63" s="148"/>
      <c r="D63" s="41">
        <f>SUM(D60:D62)</f>
        <v>0</v>
      </c>
    </row>
    <row r="64" spans="1:8" ht="14.25" customHeight="1">
      <c r="A64" s="6"/>
      <c r="B64" s="8"/>
      <c r="C64" s="8"/>
      <c r="D64" s="8"/>
    </row>
    <row r="65" spans="1:8" ht="14.25" customHeight="1" thickBot="1">
      <c r="A65" s="143" t="s">
        <v>59</v>
      </c>
      <c r="B65" s="144"/>
      <c r="C65" s="144"/>
      <c r="D65" s="144"/>
    </row>
    <row r="66" spans="1:8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8" ht="14.25" customHeight="1">
      <c r="A67" s="14" t="s">
        <v>1</v>
      </c>
      <c r="B67" s="141" t="s">
        <v>61</v>
      </c>
      <c r="C67" s="142"/>
      <c r="D67" s="41">
        <f>$D$28*0.46%</f>
        <v>0</v>
      </c>
    </row>
    <row r="68" spans="1:8" ht="14.25" customHeight="1">
      <c r="A68" s="14" t="s">
        <v>3</v>
      </c>
      <c r="B68" s="141" t="s">
        <v>62</v>
      </c>
      <c r="C68" s="142"/>
      <c r="D68" s="41">
        <f>D67*C46</f>
        <v>0</v>
      </c>
    </row>
    <row r="69" spans="1:8" ht="14.25" customHeight="1">
      <c r="A69" s="14" t="s">
        <v>5</v>
      </c>
      <c r="B69" s="152" t="s">
        <v>63</v>
      </c>
      <c r="C69" s="142"/>
      <c r="D69" s="41">
        <f>D28*5%</f>
        <v>0</v>
      </c>
    </row>
    <row r="70" spans="1:8" ht="14.25" customHeight="1">
      <c r="A70" s="14" t="s">
        <v>7</v>
      </c>
      <c r="B70" s="141" t="s">
        <v>64</v>
      </c>
      <c r="C70" s="142"/>
      <c r="D70" s="41">
        <f>$D$28*1.94%</f>
        <v>0</v>
      </c>
      <c r="F70" s="43"/>
    </row>
    <row r="71" spans="1:8" ht="14.25" customHeight="1">
      <c r="A71" s="23" t="s">
        <v>26</v>
      </c>
      <c r="B71" s="168" t="s">
        <v>65</v>
      </c>
      <c r="C71" s="169"/>
      <c r="D71" s="41">
        <f>D70*C47</f>
        <v>0</v>
      </c>
      <c r="F71" s="43"/>
    </row>
    <row r="72" spans="1:8" ht="14.25" customHeight="1">
      <c r="A72" s="22" t="s">
        <v>46</v>
      </c>
      <c r="B72" s="167" t="s">
        <v>66</v>
      </c>
      <c r="C72" s="148"/>
      <c r="D72" s="41">
        <f>D28*5%</f>
        <v>0</v>
      </c>
      <c r="F72" s="43"/>
    </row>
    <row r="73" spans="1:8" ht="14.25" customHeight="1">
      <c r="A73" s="147" t="s">
        <v>30</v>
      </c>
      <c r="B73" s="150"/>
      <c r="C73" s="148"/>
      <c r="D73" s="42">
        <f>SUM(D67:D72)</f>
        <v>0</v>
      </c>
    </row>
    <row r="74" spans="1:8" ht="14.25" customHeight="1">
      <c r="A74" s="8"/>
      <c r="B74" s="8"/>
      <c r="C74" s="8"/>
      <c r="D74" s="8"/>
      <c r="G74" s="52" t="e">
        <f>H74/D28</f>
        <v>#DIV/0!</v>
      </c>
      <c r="H74" s="46">
        <f>D84+D73+D47+D35</f>
        <v>0</v>
      </c>
    </row>
    <row r="75" spans="1:8" ht="14.25" customHeight="1">
      <c r="A75" s="143" t="s">
        <v>67</v>
      </c>
      <c r="B75" s="144"/>
      <c r="C75" s="144"/>
      <c r="D75" s="144"/>
    </row>
    <row r="76" spans="1:8" ht="14.25" customHeight="1" thickBot="1">
      <c r="A76" s="151" t="s">
        <v>68</v>
      </c>
      <c r="B76" s="144"/>
      <c r="C76" s="144"/>
      <c r="D76" s="144"/>
    </row>
    <row r="77" spans="1:8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8" ht="14.25" customHeight="1">
      <c r="A78" s="14" t="s">
        <v>1</v>
      </c>
      <c r="B78" s="152" t="s">
        <v>71</v>
      </c>
      <c r="C78" s="142"/>
      <c r="D78" s="41">
        <f>D28*1.62%</f>
        <v>0</v>
      </c>
      <c r="E78" s="43">
        <f>D28*1.62%</f>
        <v>0</v>
      </c>
      <c r="F78" s="43">
        <f>D28+D63+D73</f>
        <v>0</v>
      </c>
    </row>
    <row r="79" spans="1:8" ht="14.25" customHeight="1">
      <c r="A79" s="14" t="s">
        <v>3</v>
      </c>
      <c r="B79" s="152" t="s">
        <v>72</v>
      </c>
      <c r="C79" s="142"/>
      <c r="D79" s="41">
        <f>D28*0.028%</f>
        <v>0</v>
      </c>
    </row>
    <row r="80" spans="1:8" ht="14.25" customHeight="1">
      <c r="A80" s="14" t="s">
        <v>5</v>
      </c>
      <c r="B80" s="152" t="s">
        <v>73</v>
      </c>
      <c r="C80" s="142"/>
      <c r="D80" s="41">
        <f>D28*0.08%</f>
        <v>0</v>
      </c>
    </row>
    <row r="81" spans="1:9" ht="14.25" customHeight="1">
      <c r="A81" s="14" t="s">
        <v>7</v>
      </c>
      <c r="B81" s="141" t="s">
        <v>74</v>
      </c>
      <c r="C81" s="142"/>
      <c r="D81" s="41">
        <f>D28*0.27%</f>
        <v>0</v>
      </c>
    </row>
    <row r="82" spans="1:9" ht="14.25" customHeight="1">
      <c r="A82" s="14" t="s">
        <v>26</v>
      </c>
      <c r="B82" s="177" t="s">
        <v>75</v>
      </c>
      <c r="C82" s="142"/>
      <c r="D82" s="41">
        <f>D28*0.03%</f>
        <v>0</v>
      </c>
    </row>
    <row r="83" spans="1:9" ht="14.25" customHeight="1">
      <c r="A83" s="14" t="s">
        <v>46</v>
      </c>
      <c r="B83" s="178" t="s">
        <v>76</v>
      </c>
      <c r="C83" s="142"/>
      <c r="D83" s="41"/>
    </row>
    <row r="84" spans="1:9" ht="14.25" customHeight="1">
      <c r="A84" s="147" t="s">
        <v>51</v>
      </c>
      <c r="B84" s="150"/>
      <c r="C84" s="148"/>
      <c r="D84" s="41">
        <f>SUM(D78:D83)</f>
        <v>0</v>
      </c>
    </row>
    <row r="85" spans="1:9" ht="14.25" customHeight="1">
      <c r="A85" s="8"/>
      <c r="B85" s="8"/>
      <c r="C85" s="8"/>
      <c r="D85" s="8"/>
    </row>
    <row r="86" spans="1:9" ht="14.25" customHeight="1" thickBot="1">
      <c r="A86" s="151" t="s">
        <v>77</v>
      </c>
      <c r="B86" s="144"/>
      <c r="C86" s="144"/>
      <c r="D86" s="144"/>
    </row>
    <row r="87" spans="1:9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9" ht="14.25" customHeight="1">
      <c r="A88" s="14" t="s">
        <v>1</v>
      </c>
      <c r="B88" s="153" t="s">
        <v>80</v>
      </c>
      <c r="C88" s="142"/>
      <c r="D88" s="15">
        <v>0</v>
      </c>
    </row>
    <row r="89" spans="1:9" ht="14.25" customHeight="1">
      <c r="A89" s="147" t="s">
        <v>30</v>
      </c>
      <c r="B89" s="150"/>
      <c r="C89" s="148"/>
      <c r="D89" s="16">
        <f>D88</f>
        <v>0</v>
      </c>
    </row>
    <row r="90" spans="1:9" ht="14.25" customHeight="1">
      <c r="A90" s="8"/>
      <c r="B90" s="8"/>
      <c r="C90" s="8"/>
      <c r="D90" s="8"/>
    </row>
    <row r="91" spans="1:9" ht="14.25" customHeight="1" thickBot="1">
      <c r="A91" s="151" t="s">
        <v>81</v>
      </c>
      <c r="B91" s="144"/>
      <c r="C91" s="144"/>
      <c r="D91" s="144"/>
      <c r="H91" s="43">
        <f>D35+D47+D73+D84</f>
        <v>0</v>
      </c>
      <c r="I91" s="52" t="e">
        <f>H91/D28</f>
        <v>#DIV/0!</v>
      </c>
    </row>
    <row r="92" spans="1:9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9" ht="14.25" customHeight="1">
      <c r="A93" s="14" t="s">
        <v>69</v>
      </c>
      <c r="B93" s="141" t="s">
        <v>70</v>
      </c>
      <c r="C93" s="142"/>
      <c r="D93" s="41">
        <f>D84</f>
        <v>0</v>
      </c>
    </row>
    <row r="94" spans="1:9" ht="14.25" customHeight="1">
      <c r="A94" s="14" t="s">
        <v>78</v>
      </c>
      <c r="B94" s="153" t="s">
        <v>79</v>
      </c>
      <c r="C94" s="142"/>
      <c r="D94" s="41">
        <f>D89</f>
        <v>0</v>
      </c>
    </row>
    <row r="95" spans="1:9" ht="14.25" customHeight="1">
      <c r="A95" s="147" t="s">
        <v>30</v>
      </c>
      <c r="B95" s="150"/>
      <c r="C95" s="148"/>
      <c r="D95" s="41">
        <f>SUM(D93:D94)</f>
        <v>0</v>
      </c>
    </row>
    <row r="96" spans="1:9" ht="14.25" customHeight="1">
      <c r="A96" s="8"/>
      <c r="B96" s="8"/>
      <c r="C96" s="8"/>
      <c r="D96" s="8"/>
    </row>
    <row r="97" spans="1:9" ht="14.25" customHeight="1" thickBot="1">
      <c r="A97" s="143" t="s">
        <v>83</v>
      </c>
      <c r="B97" s="144"/>
      <c r="C97" s="144"/>
      <c r="D97" s="144"/>
    </row>
    <row r="98" spans="1:9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9" ht="14.25" customHeight="1">
      <c r="A99" s="14" t="s">
        <v>1</v>
      </c>
      <c r="B99" s="141" t="s">
        <v>85</v>
      </c>
      <c r="C99" s="142"/>
      <c r="D99" s="44"/>
      <c r="G99" s="46"/>
    </row>
    <row r="100" spans="1:9" ht="14.25" customHeight="1">
      <c r="A100" s="14" t="s">
        <v>3</v>
      </c>
      <c r="B100" s="153" t="s">
        <v>86</v>
      </c>
      <c r="C100" s="142"/>
      <c r="D100" s="42"/>
    </row>
    <row r="101" spans="1:9" ht="14.25" customHeight="1">
      <c r="A101" s="22" t="s">
        <v>5</v>
      </c>
      <c r="B101" s="170" t="s">
        <v>125</v>
      </c>
      <c r="C101" s="148"/>
      <c r="D101" s="42"/>
    </row>
    <row r="102" spans="1:9" ht="14.25" customHeight="1">
      <c r="A102" s="22" t="s">
        <v>7</v>
      </c>
      <c r="B102" s="167" t="s">
        <v>135</v>
      </c>
      <c r="C102" s="148"/>
      <c r="D102" s="42"/>
    </row>
    <row r="103" spans="1:9" ht="14.25" customHeight="1">
      <c r="A103" s="147" t="s">
        <v>51</v>
      </c>
      <c r="B103" s="150"/>
      <c r="C103" s="148"/>
      <c r="D103" s="42">
        <f>SUM(D99:D102)</f>
        <v>0</v>
      </c>
    </row>
    <row r="104" spans="1:9" ht="14.25" customHeight="1">
      <c r="A104" s="8"/>
      <c r="B104" s="8"/>
      <c r="C104" s="8"/>
      <c r="D104" s="8"/>
    </row>
    <row r="105" spans="1:9" ht="14.25" customHeight="1" thickBot="1">
      <c r="A105" s="143" t="s">
        <v>88</v>
      </c>
      <c r="B105" s="144"/>
      <c r="C105" s="144"/>
      <c r="D105" s="144"/>
    </row>
    <row r="106" spans="1:9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  <c r="I106" s="60">
        <f>[1]ASG!$J$101</f>
        <v>629806.91999999993</v>
      </c>
    </row>
    <row r="107" spans="1:9" ht="14.25" customHeight="1" thickBot="1">
      <c r="A107" s="14" t="s">
        <v>1</v>
      </c>
      <c r="B107" s="17" t="s">
        <v>91</v>
      </c>
      <c r="C107" s="19">
        <v>0.03</v>
      </c>
      <c r="D107" s="41">
        <f>ROUND((G107*C107),2)</f>
        <v>0</v>
      </c>
      <c r="G107" s="43">
        <f>ROUND((F78+D95+D103),2)</f>
        <v>0</v>
      </c>
      <c r="I107" s="60" t="e">
        <f>H113</f>
        <v>#REF!</v>
      </c>
    </row>
    <row r="108" spans="1:9" ht="14.25" customHeight="1" thickBot="1">
      <c r="A108" s="14" t="s">
        <v>3</v>
      </c>
      <c r="B108" s="17" t="s">
        <v>92</v>
      </c>
      <c r="C108" s="19">
        <v>6.7900000000000002E-2</v>
      </c>
      <c r="D108" s="41">
        <f>ROUND((G108*C108),2)</f>
        <v>0</v>
      </c>
      <c r="G108" s="43">
        <f>ROUND((G107+D107),2)</f>
        <v>0</v>
      </c>
      <c r="I108" s="60">
        <f>[2]ASG!$G$100</f>
        <v>590474.04</v>
      </c>
    </row>
    <row r="109" spans="1:9" ht="14.25" customHeight="1" thickBot="1">
      <c r="A109" s="14" t="s">
        <v>5</v>
      </c>
      <c r="B109" s="145" t="s">
        <v>93</v>
      </c>
      <c r="C109" s="146"/>
      <c r="D109" s="142"/>
      <c r="I109" s="60" t="e">
        <f>SUM(I106:I108)</f>
        <v>#REF!</v>
      </c>
    </row>
    <row r="110" spans="1:9" ht="14.25" customHeight="1" thickBot="1">
      <c r="A110" s="14"/>
      <c r="B110" s="26" t="s">
        <v>94</v>
      </c>
      <c r="C110" s="27">
        <v>3.6499999999999998E-2</v>
      </c>
      <c r="D110" s="41">
        <f>G121*C110</f>
        <v>0</v>
      </c>
      <c r="I110" s="7" t="e">
        <f>I109/3</f>
        <v>#REF!</v>
      </c>
    </row>
    <row r="111" spans="1:9" ht="14.25" customHeight="1" thickBot="1">
      <c r="A111" s="14"/>
      <c r="B111" s="17" t="s">
        <v>126</v>
      </c>
      <c r="C111" s="27">
        <v>0</v>
      </c>
      <c r="D111" s="41">
        <f>G121*C111</f>
        <v>0</v>
      </c>
    </row>
    <row r="112" spans="1:9" ht="14.25" customHeight="1" thickBot="1">
      <c r="A112" s="14"/>
      <c r="B112" s="26" t="s">
        <v>95</v>
      </c>
      <c r="C112" s="28">
        <v>0.05</v>
      </c>
      <c r="D112" s="41">
        <f>G121*C112</f>
        <v>0</v>
      </c>
      <c r="I112" s="7" t="e">
        <f>600000-I110</f>
        <v>#REF!</v>
      </c>
    </row>
    <row r="113" spans="1:8" ht="14.25" customHeight="1" thickBot="1">
      <c r="A113" s="147" t="s">
        <v>51</v>
      </c>
      <c r="B113" s="148"/>
      <c r="C113" s="29"/>
      <c r="D113" s="45">
        <f>SUM(D107:D108,D110:D112)</f>
        <v>0</v>
      </c>
      <c r="H113" s="61" t="e">
        <f>RESUMO!#REF!</f>
        <v>#REF!</v>
      </c>
    </row>
    <row r="114" spans="1:8" ht="14.25" customHeight="1">
      <c r="A114" s="8"/>
      <c r="B114" s="8"/>
      <c r="C114" s="8"/>
      <c r="D114" s="8"/>
    </row>
    <row r="115" spans="1:8" ht="14.25" customHeight="1" thickBot="1">
      <c r="A115" s="143" t="s">
        <v>96</v>
      </c>
      <c r="B115" s="144"/>
      <c r="C115" s="144"/>
      <c r="D115" s="144"/>
    </row>
    <row r="116" spans="1:8" ht="14.25" customHeight="1" thickBot="1">
      <c r="A116" s="12"/>
      <c r="B116" s="149" t="s">
        <v>97</v>
      </c>
      <c r="C116" s="148"/>
      <c r="D116" s="13" t="s">
        <v>21</v>
      </c>
    </row>
    <row r="117" spans="1:8" ht="14.25" customHeight="1" thickBot="1">
      <c r="A117" s="30" t="s">
        <v>1</v>
      </c>
      <c r="B117" s="141" t="s">
        <v>19</v>
      </c>
      <c r="C117" s="142"/>
      <c r="D117" s="42">
        <f>D28</f>
        <v>0</v>
      </c>
      <c r="H117" s="7">
        <f>8.65</f>
        <v>8.65</v>
      </c>
    </row>
    <row r="118" spans="1:8" ht="14.25" customHeight="1" thickBot="1">
      <c r="A118" s="30" t="s">
        <v>3</v>
      </c>
      <c r="B118" s="141" t="s">
        <v>31</v>
      </c>
      <c r="C118" s="142"/>
      <c r="D118" s="42">
        <f>D63</f>
        <v>0</v>
      </c>
      <c r="H118" s="7">
        <f>1-0.0865</f>
        <v>0.91349999999999998</v>
      </c>
    </row>
    <row r="119" spans="1:8" ht="14.25" customHeight="1" thickBot="1">
      <c r="A119" s="30" t="s">
        <v>5</v>
      </c>
      <c r="B119" s="141" t="s">
        <v>59</v>
      </c>
      <c r="C119" s="142"/>
      <c r="D119" s="42">
        <f>D73</f>
        <v>0</v>
      </c>
    </row>
    <row r="120" spans="1:8" ht="14.25" customHeight="1" thickBot="1">
      <c r="A120" s="30" t="s">
        <v>7</v>
      </c>
      <c r="B120" s="141" t="s">
        <v>67</v>
      </c>
      <c r="C120" s="142"/>
      <c r="D120" s="42">
        <f>D95</f>
        <v>0</v>
      </c>
      <c r="G120" s="43">
        <f>ROUND((G108+D108),2)</f>
        <v>0</v>
      </c>
    </row>
    <row r="121" spans="1:8" ht="14.25" customHeight="1" thickBot="1">
      <c r="A121" s="30" t="s">
        <v>26</v>
      </c>
      <c r="B121" s="153" t="s">
        <v>83</v>
      </c>
      <c r="C121" s="142"/>
      <c r="D121" s="42">
        <f>D103</f>
        <v>0</v>
      </c>
      <c r="F121" s="7">
        <f>H118</f>
        <v>0.91349999999999998</v>
      </c>
      <c r="G121" s="43">
        <f>ROUND((G120/F121),2)</f>
        <v>0</v>
      </c>
    </row>
    <row r="122" spans="1:8" ht="14.25" customHeight="1" thickBot="1">
      <c r="A122" s="147" t="s">
        <v>98</v>
      </c>
      <c r="B122" s="150"/>
      <c r="C122" s="148"/>
      <c r="D122" s="42">
        <f>SUM(D117:D121)</f>
        <v>0</v>
      </c>
    </row>
    <row r="123" spans="1:8" ht="14.25" customHeight="1">
      <c r="A123" s="12" t="s">
        <v>46</v>
      </c>
      <c r="B123" s="170" t="s">
        <v>99</v>
      </c>
      <c r="C123" s="148"/>
      <c r="D123" s="42">
        <f>D113</f>
        <v>0</v>
      </c>
    </row>
    <row r="124" spans="1:8" ht="14.25" customHeight="1" thickBot="1">
      <c r="A124" s="173" t="s">
        <v>100</v>
      </c>
      <c r="B124" s="150"/>
      <c r="C124" s="148"/>
      <c r="D124" s="45">
        <f>ROUND((SUM(D122:D123)),2)</f>
        <v>0</v>
      </c>
    </row>
    <row r="125" spans="1:8" s="35" customFormat="1" ht="15" customHeight="1">
      <c r="A125" s="37"/>
      <c r="B125" s="37"/>
      <c r="C125" s="37"/>
      <c r="D125" s="38"/>
    </row>
    <row r="126" spans="1:8" ht="15" customHeight="1">
      <c r="A126" s="174"/>
      <c r="B126" s="175"/>
      <c r="C126" s="175"/>
      <c r="D126" s="175"/>
      <c r="E126" s="176"/>
    </row>
    <row r="127" spans="1:8" ht="15" customHeight="1">
      <c r="A127" s="31"/>
      <c r="B127" s="31"/>
      <c r="C127" s="31"/>
      <c r="D127" s="31"/>
      <c r="E127" s="31"/>
    </row>
    <row r="128" spans="1:8" ht="15" customHeight="1">
      <c r="A128" s="31"/>
      <c r="B128" s="31"/>
      <c r="C128" s="31"/>
      <c r="D128" s="31"/>
      <c r="E128" s="31"/>
    </row>
    <row r="129" spans="1:5" ht="15" customHeight="1">
      <c r="A129" s="32"/>
      <c r="B129" s="31"/>
      <c r="C129" s="31"/>
      <c r="D129" s="31"/>
      <c r="E129" s="31"/>
    </row>
    <row r="130" spans="1:5" ht="15" customHeight="1">
      <c r="A130" s="32"/>
      <c r="B130" s="31"/>
      <c r="C130" s="31"/>
      <c r="D130" s="31"/>
      <c r="E130" s="31"/>
    </row>
    <row r="131" spans="1:5" ht="15" customHeight="1">
      <c r="A131" s="32"/>
      <c r="B131" s="31"/>
      <c r="C131" s="31"/>
      <c r="D131" s="31"/>
      <c r="E131" s="31"/>
    </row>
    <row r="132" spans="1:5" ht="15" customHeight="1">
      <c r="A132" s="32"/>
      <c r="B132" s="31"/>
      <c r="C132" s="31"/>
      <c r="D132" s="31"/>
      <c r="E132" s="31"/>
    </row>
    <row r="133" spans="1:5" ht="15" customHeight="1">
      <c r="A133" s="33"/>
    </row>
  </sheetData>
  <mergeCells count="95">
    <mergeCell ref="A122:C122"/>
    <mergeCell ref="B123:C123"/>
    <mergeCell ref="A124:C124"/>
    <mergeCell ref="A73:C73"/>
    <mergeCell ref="A126:E126"/>
    <mergeCell ref="B102:C102"/>
    <mergeCell ref="B79:C79"/>
    <mergeCell ref="B101:C101"/>
    <mergeCell ref="B80:C80"/>
    <mergeCell ref="B81:C81"/>
    <mergeCell ref="B82:C82"/>
    <mergeCell ref="B83:C83"/>
    <mergeCell ref="A84:C84"/>
    <mergeCell ref="A86:D86"/>
    <mergeCell ref="B87:C87"/>
    <mergeCell ref="B88:C88"/>
    <mergeCell ref="A35:C35"/>
    <mergeCell ref="A37:D37"/>
    <mergeCell ref="A47:B47"/>
    <mergeCell ref="A49:D49"/>
    <mergeCell ref="B50:C50"/>
    <mergeCell ref="B51:C51"/>
    <mergeCell ref="B68:C68"/>
    <mergeCell ref="B69:C69"/>
    <mergeCell ref="B70:C70"/>
    <mergeCell ref="B62:C62"/>
    <mergeCell ref="A63:C63"/>
    <mergeCell ref="A65:D65"/>
    <mergeCell ref="B66:C66"/>
    <mergeCell ref="B67:C67"/>
    <mergeCell ref="A31:D31"/>
    <mergeCell ref="B32:C32"/>
    <mergeCell ref="B33:C33"/>
    <mergeCell ref="B34:C34"/>
    <mergeCell ref="A75:D75"/>
    <mergeCell ref="B52:C52"/>
    <mergeCell ref="B53:C53"/>
    <mergeCell ref="B54:C54"/>
    <mergeCell ref="B55:C55"/>
    <mergeCell ref="A56:C56"/>
    <mergeCell ref="A58:D58"/>
    <mergeCell ref="B59:C59"/>
    <mergeCell ref="B60:C60"/>
    <mergeCell ref="B61:C61"/>
    <mergeCell ref="B71:C71"/>
    <mergeCell ref="B72:C72"/>
    <mergeCell ref="B25:C25"/>
    <mergeCell ref="B26:C26"/>
    <mergeCell ref="B27:C27"/>
    <mergeCell ref="A28:C28"/>
    <mergeCell ref="A30:D30"/>
    <mergeCell ref="B20:C20"/>
    <mergeCell ref="B21:C21"/>
    <mergeCell ref="B22:C22"/>
    <mergeCell ref="B23:C23"/>
    <mergeCell ref="B24:C24"/>
    <mergeCell ref="C16:D16"/>
    <mergeCell ref="C17:D17"/>
    <mergeCell ref="A19:D19"/>
    <mergeCell ref="A1:D1"/>
    <mergeCell ref="A3:D3"/>
    <mergeCell ref="C4:D4"/>
    <mergeCell ref="A11:B11"/>
    <mergeCell ref="C13:D13"/>
    <mergeCell ref="C14:D14"/>
    <mergeCell ref="C15:D15"/>
    <mergeCell ref="C5:D5"/>
    <mergeCell ref="C6:D6"/>
    <mergeCell ref="C7:D7"/>
    <mergeCell ref="A9:D9"/>
    <mergeCell ref="A10:B10"/>
    <mergeCell ref="A89:C89"/>
    <mergeCell ref="A76:D76"/>
    <mergeCell ref="B77:C77"/>
    <mergeCell ref="B78:C78"/>
    <mergeCell ref="B121:C121"/>
    <mergeCell ref="A91:D91"/>
    <mergeCell ref="B92:C92"/>
    <mergeCell ref="B93:C93"/>
    <mergeCell ref="B94:C94"/>
    <mergeCell ref="A95:C95"/>
    <mergeCell ref="A97:D97"/>
    <mergeCell ref="B98:C98"/>
    <mergeCell ref="B99:C99"/>
    <mergeCell ref="B100:C100"/>
    <mergeCell ref="A115:D115"/>
    <mergeCell ref="A103:C103"/>
    <mergeCell ref="B118:C118"/>
    <mergeCell ref="B119:C119"/>
    <mergeCell ref="B120:C120"/>
    <mergeCell ref="A105:D105"/>
    <mergeCell ref="B109:D109"/>
    <mergeCell ref="A113:B113"/>
    <mergeCell ref="B116:C116"/>
    <mergeCell ref="B117:C117"/>
  </mergeCells>
  <printOptions horizontalCentered="1"/>
  <pageMargins left="0.78740157480314965" right="0.47244094488188981" top="1.3779527559055118" bottom="0.9055118110236221" header="0" footer="0"/>
  <pageSetup paperSize="9" scale="96" orientation="portrait" r:id="rId1"/>
  <colBreaks count="1" manualBreakCount="1">
    <brk id="4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G92"/>
  <sheetViews>
    <sheetView topLeftCell="A73" workbookViewId="0">
      <selection activeCell="G74" sqref="G74"/>
    </sheetView>
  </sheetViews>
  <sheetFormatPr defaultRowHeight="14.25"/>
  <cols>
    <col min="1" max="2" width="23" customWidth="1"/>
    <col min="3" max="3" width="17.875" customWidth="1"/>
    <col min="4" max="4" width="15.375" customWidth="1"/>
    <col min="5" max="5" width="14" customWidth="1"/>
    <col min="6" max="6" width="15" customWidth="1"/>
    <col min="7" max="7" width="11.375" customWidth="1"/>
    <col min="8" max="8" width="14.75" customWidth="1"/>
    <col min="9" max="60" width="9" customWidth="1"/>
  </cols>
  <sheetData>
    <row r="1" spans="1:59" s="1" customFormat="1" ht="18.75" customHeight="1">
      <c r="A1" s="246" t="s">
        <v>176</v>
      </c>
      <c r="B1" s="247"/>
      <c r="C1" s="247"/>
      <c r="D1" s="247"/>
      <c r="E1" s="247"/>
      <c r="F1" s="247"/>
      <c r="G1" s="247"/>
      <c r="H1" s="247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</row>
    <row r="2" spans="1:59" s="1" customFormat="1" ht="15">
      <c r="A2" s="92"/>
      <c r="B2" s="92"/>
      <c r="C2" s="92"/>
      <c r="D2" s="92"/>
      <c r="E2" s="92"/>
      <c r="F2" s="92"/>
      <c r="G2" s="92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</row>
    <row r="3" spans="1:59" s="1" customFormat="1" ht="15">
      <c r="A3" s="235" t="s">
        <v>177</v>
      </c>
      <c r="B3" s="235"/>
      <c r="C3" s="235"/>
      <c r="D3" s="235"/>
      <c r="E3" s="92"/>
      <c r="F3" s="92"/>
      <c r="G3" s="92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</row>
    <row r="4" spans="1:59" s="1" customFormat="1" ht="15">
      <c r="A4" s="236"/>
      <c r="B4" s="236"/>
      <c r="C4" s="236"/>
      <c r="D4" s="236"/>
      <c r="E4" s="92"/>
      <c r="F4" s="92"/>
      <c r="G4" s="92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</row>
    <row r="5" spans="1:59" s="1" customFormat="1" ht="21" customHeight="1">
      <c r="A5" s="234" t="s">
        <v>242</v>
      </c>
      <c r="B5" s="234"/>
      <c r="C5" s="234"/>
      <c r="D5" s="234"/>
      <c r="E5" s="93"/>
      <c r="F5" s="93"/>
      <c r="G5" s="93"/>
      <c r="H5" s="94"/>
      <c r="I5" s="94"/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</row>
    <row r="6" spans="1:59" s="1" customFormat="1" ht="32.25" customHeight="1">
      <c r="A6" s="218" t="s">
        <v>178</v>
      </c>
      <c r="B6" s="96" t="s">
        <v>179</v>
      </c>
      <c r="C6" s="96" t="s">
        <v>180</v>
      </c>
      <c r="D6" s="96" t="s">
        <v>181</v>
      </c>
      <c r="E6" s="93"/>
      <c r="F6" s="93"/>
      <c r="G6" s="93"/>
      <c r="H6" s="94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</row>
    <row r="7" spans="1:59" s="1" customFormat="1" ht="32.25" customHeight="1">
      <c r="A7" s="219"/>
      <c r="B7" s="96" t="s">
        <v>182</v>
      </c>
      <c r="C7" s="96" t="s">
        <v>183</v>
      </c>
      <c r="D7" s="96" t="s">
        <v>184</v>
      </c>
      <c r="E7" s="93"/>
      <c r="F7" s="93"/>
      <c r="G7" s="93"/>
      <c r="H7" s="94"/>
      <c r="I7" s="9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</row>
    <row r="8" spans="1:59" s="1" customFormat="1" ht="21" customHeight="1">
      <c r="A8" s="204" t="s">
        <v>185</v>
      </c>
      <c r="B8" s="97" t="s">
        <v>186</v>
      </c>
      <c r="C8" s="205"/>
      <c r="D8" s="205">
        <f>ROUND(1/(30*B11)*C8,2)</f>
        <v>0</v>
      </c>
      <c r="E8" s="93"/>
      <c r="F8" s="93"/>
      <c r="G8" s="93"/>
      <c r="H8" s="94"/>
      <c r="I8" s="94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</row>
    <row r="9" spans="1:59" s="1" customFormat="1" ht="21" customHeight="1">
      <c r="A9" s="204"/>
      <c r="B9" s="98" t="s">
        <v>187</v>
      </c>
      <c r="C9" s="205"/>
      <c r="D9" s="205"/>
      <c r="E9" s="93"/>
      <c r="F9" s="93"/>
      <c r="G9" s="93"/>
      <c r="H9" s="94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</row>
    <row r="10" spans="1:59" s="1" customFormat="1" ht="21" customHeight="1">
      <c r="A10" s="204" t="s">
        <v>188</v>
      </c>
      <c r="B10" s="97" t="s">
        <v>186</v>
      </c>
      <c r="C10" s="205"/>
      <c r="D10" s="205">
        <f>ROUND((1/B11*C10),2)</f>
        <v>0</v>
      </c>
      <c r="E10" s="93"/>
      <c r="F10" s="93"/>
      <c r="G10" s="93"/>
      <c r="H10" s="94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</row>
    <row r="11" spans="1:59" s="1" customFormat="1" ht="21" customHeight="1">
      <c r="A11" s="204"/>
      <c r="B11" s="99">
        <v>1000</v>
      </c>
      <c r="C11" s="205"/>
      <c r="D11" s="205"/>
      <c r="E11" s="93"/>
      <c r="F11" s="93"/>
      <c r="G11" s="93"/>
      <c r="H11" s="94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</row>
    <row r="12" spans="1:59" s="1" customFormat="1" ht="21" customHeight="1">
      <c r="A12" s="234" t="s">
        <v>189</v>
      </c>
      <c r="B12" s="234"/>
      <c r="C12" s="234"/>
      <c r="D12" s="100">
        <f>D8+D10</f>
        <v>0</v>
      </c>
      <c r="E12" s="93"/>
      <c r="F12" s="93"/>
      <c r="G12" s="93"/>
      <c r="H12" s="94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</row>
    <row r="13" spans="1:59" s="1" customFormat="1" ht="21" customHeight="1">
      <c r="A13" s="101"/>
      <c r="B13" s="101"/>
      <c r="C13" s="101"/>
      <c r="D13" s="102"/>
      <c r="E13" s="93"/>
      <c r="F13" s="93"/>
      <c r="G13" s="93"/>
      <c r="H13" s="94"/>
      <c r="I13" s="94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</row>
    <row r="14" spans="1:59" s="1" customFormat="1" ht="21" customHeight="1">
      <c r="A14" s="234" t="s">
        <v>243</v>
      </c>
      <c r="B14" s="234"/>
      <c r="C14" s="234"/>
      <c r="D14" s="234"/>
      <c r="E14" s="93"/>
      <c r="F14" s="93"/>
      <c r="G14" s="93"/>
      <c r="H14" s="94"/>
      <c r="I14" s="94"/>
      <c r="J14" s="94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</row>
    <row r="15" spans="1:59" s="1" customFormat="1" ht="21" customHeight="1">
      <c r="A15" s="218" t="s">
        <v>238</v>
      </c>
      <c r="B15" s="96" t="s">
        <v>179</v>
      </c>
      <c r="C15" s="96" t="s">
        <v>180</v>
      </c>
      <c r="D15" s="96" t="s">
        <v>181</v>
      </c>
      <c r="E15" s="93"/>
      <c r="F15" s="93"/>
      <c r="G15" s="93"/>
      <c r="H15" s="94"/>
      <c r="I15" s="94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</row>
    <row r="16" spans="1:59" s="1" customFormat="1" ht="30" customHeight="1">
      <c r="A16" s="219"/>
      <c r="B16" s="96" t="s">
        <v>182</v>
      </c>
      <c r="C16" s="96" t="s">
        <v>183</v>
      </c>
      <c r="D16" s="96" t="s">
        <v>184</v>
      </c>
      <c r="E16" s="93"/>
      <c r="F16" s="93"/>
      <c r="G16" s="93"/>
      <c r="H16" s="94"/>
      <c r="I16" s="94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</row>
    <row r="17" spans="1:59" s="1" customFormat="1" ht="21" customHeight="1">
      <c r="A17" s="204" t="s">
        <v>185</v>
      </c>
      <c r="B17" s="97" t="s">
        <v>186</v>
      </c>
      <c r="C17" s="205"/>
      <c r="D17" s="205">
        <f>ROUND(1/(30*B20)*C17,2)</f>
        <v>0</v>
      </c>
      <c r="E17" s="93"/>
      <c r="F17" s="93"/>
      <c r="G17" s="93"/>
      <c r="H17" s="94"/>
      <c r="I17" s="94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</row>
    <row r="18" spans="1:59" s="1" customFormat="1" ht="21" customHeight="1">
      <c r="A18" s="204"/>
      <c r="B18" s="98" t="s">
        <v>239</v>
      </c>
      <c r="C18" s="205"/>
      <c r="D18" s="205"/>
      <c r="E18" s="93"/>
      <c r="F18" s="93"/>
      <c r="G18" s="93"/>
      <c r="H18" s="94"/>
      <c r="I18" s="94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</row>
    <row r="19" spans="1:59" s="1" customFormat="1" ht="21" customHeight="1">
      <c r="A19" s="204" t="s">
        <v>188</v>
      </c>
      <c r="B19" s="97" t="s">
        <v>186</v>
      </c>
      <c r="C19" s="205"/>
      <c r="D19" s="205">
        <f>ROUND((1/B20*C19),2)</f>
        <v>0</v>
      </c>
      <c r="E19" s="93"/>
      <c r="F19" s="93"/>
      <c r="G19" s="93"/>
      <c r="H19" s="94"/>
      <c r="I19" s="94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</row>
    <row r="20" spans="1:59" s="1" customFormat="1" ht="21" customHeight="1">
      <c r="A20" s="204"/>
      <c r="B20" s="99">
        <v>1400</v>
      </c>
      <c r="C20" s="205"/>
      <c r="D20" s="205"/>
      <c r="E20" s="93"/>
      <c r="F20" s="93"/>
      <c r="G20" s="93"/>
      <c r="H20" s="94"/>
      <c r="I20" s="94"/>
      <c r="J20" s="94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</row>
    <row r="21" spans="1:59" s="1" customFormat="1" ht="21" customHeight="1">
      <c r="A21" s="234" t="s">
        <v>189</v>
      </c>
      <c r="B21" s="234"/>
      <c r="C21" s="234"/>
      <c r="D21" s="100">
        <f>D17+D19</f>
        <v>0</v>
      </c>
      <c r="E21" s="93"/>
      <c r="F21" s="93"/>
      <c r="G21" s="93"/>
      <c r="H21" s="94"/>
      <c r="I21" s="94"/>
      <c r="J21" s="9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</row>
    <row r="22" spans="1:59" s="1" customFormat="1" ht="21" customHeight="1">
      <c r="A22" s="101"/>
      <c r="B22" s="101"/>
      <c r="C22" s="101"/>
      <c r="D22" s="102"/>
      <c r="E22" s="93"/>
      <c r="F22" s="93"/>
      <c r="G22" s="93"/>
      <c r="H22" s="94"/>
      <c r="I22" s="94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</row>
    <row r="23" spans="1:59" s="1" customFormat="1" ht="21" customHeight="1">
      <c r="A23" s="237" t="s">
        <v>190</v>
      </c>
      <c r="B23" s="238"/>
      <c r="C23" s="238"/>
      <c r="D23" s="239"/>
      <c r="E23" s="93"/>
      <c r="F23" s="93"/>
      <c r="G23" s="93"/>
      <c r="H23" s="94"/>
      <c r="I23" s="94"/>
      <c r="J23" s="94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</row>
    <row r="24" spans="1:59" s="1" customFormat="1" ht="21" customHeight="1">
      <c r="A24" s="244" t="s">
        <v>178</v>
      </c>
      <c r="B24" s="96" t="s">
        <v>179</v>
      </c>
      <c r="C24" s="96" t="s">
        <v>180</v>
      </c>
      <c r="D24" s="96" t="s">
        <v>181</v>
      </c>
      <c r="E24" s="93"/>
      <c r="F24" s="93"/>
      <c r="G24" s="93"/>
      <c r="H24" s="94"/>
      <c r="I24" s="94"/>
      <c r="J24" s="94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</row>
    <row r="25" spans="1:59" s="1" customFormat="1" ht="21" customHeight="1">
      <c r="A25" s="245"/>
      <c r="B25" s="96" t="s">
        <v>182</v>
      </c>
      <c r="C25" s="96" t="s">
        <v>183</v>
      </c>
      <c r="D25" s="96" t="s">
        <v>184</v>
      </c>
      <c r="E25" s="93"/>
      <c r="F25" s="93"/>
      <c r="G25" s="93"/>
      <c r="H25" s="94"/>
      <c r="I25" s="94"/>
      <c r="J25" s="94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</row>
    <row r="26" spans="1:59" s="1" customFormat="1" ht="21" customHeight="1">
      <c r="A26" s="240" t="s">
        <v>185</v>
      </c>
      <c r="B26" s="97" t="s">
        <v>186</v>
      </c>
      <c r="C26" s="242"/>
      <c r="D26" s="242">
        <f>ROUND(1/(30*B29)*C26,2)</f>
        <v>0</v>
      </c>
      <c r="E26" s="93"/>
      <c r="F26" s="93"/>
      <c r="G26" s="93"/>
      <c r="H26" s="94"/>
      <c r="I26" s="94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</row>
    <row r="27" spans="1:59" s="1" customFormat="1" ht="21" customHeight="1">
      <c r="A27" s="241"/>
      <c r="B27" s="98" t="s">
        <v>191</v>
      </c>
      <c r="C27" s="243"/>
      <c r="D27" s="243"/>
      <c r="E27" s="93"/>
      <c r="F27" s="93"/>
      <c r="G27" s="93"/>
      <c r="H27" s="94"/>
      <c r="I27" s="94"/>
      <c r="J27" s="94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</row>
    <row r="28" spans="1:59" s="1" customFormat="1" ht="21" customHeight="1">
      <c r="A28" s="240" t="s">
        <v>188</v>
      </c>
      <c r="B28" s="97" t="s">
        <v>186</v>
      </c>
      <c r="C28" s="242"/>
      <c r="D28" s="242">
        <f>ROUND((1/B29*C28),2)</f>
        <v>0</v>
      </c>
      <c r="E28" s="93"/>
      <c r="F28" s="103"/>
      <c r="G28" s="93"/>
      <c r="H28" s="94"/>
      <c r="I28" s="94"/>
      <c r="J28" s="94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</row>
    <row r="29" spans="1:59" s="1" customFormat="1" ht="21" customHeight="1">
      <c r="A29" s="241"/>
      <c r="B29" s="99">
        <v>250</v>
      </c>
      <c r="C29" s="243"/>
      <c r="D29" s="243"/>
      <c r="E29" s="93"/>
      <c r="F29" s="93"/>
      <c r="G29" s="93"/>
      <c r="H29" s="94"/>
      <c r="I29" s="94"/>
      <c r="J29" s="94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</row>
    <row r="30" spans="1:59" s="1" customFormat="1" ht="21" customHeight="1">
      <c r="A30" s="234" t="s">
        <v>189</v>
      </c>
      <c r="B30" s="234"/>
      <c r="C30" s="234"/>
      <c r="D30" s="100">
        <f>D26+D28</f>
        <v>0</v>
      </c>
      <c r="E30" s="93"/>
      <c r="F30" s="93"/>
      <c r="G30" s="93"/>
      <c r="H30" s="94"/>
      <c r="I30" s="94"/>
      <c r="J30" s="94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</row>
    <row r="31" spans="1:59" s="1" customFormat="1" ht="21" customHeight="1">
      <c r="A31" s="101"/>
      <c r="B31" s="101"/>
      <c r="C31" s="101"/>
      <c r="D31" s="102"/>
      <c r="E31" s="93"/>
      <c r="F31" s="93"/>
      <c r="G31" s="93"/>
      <c r="H31" s="94"/>
      <c r="I31" s="94"/>
      <c r="J31" s="94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</row>
    <row r="32" spans="1:59" s="1" customFormat="1" ht="21" customHeight="1">
      <c r="A32" s="234" t="s">
        <v>192</v>
      </c>
      <c r="B32" s="234"/>
      <c r="C32" s="234"/>
      <c r="D32" s="234"/>
      <c r="E32" s="93"/>
      <c r="F32" s="93"/>
      <c r="G32" s="93"/>
      <c r="H32" s="94"/>
      <c r="I32" s="94"/>
      <c r="J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</row>
    <row r="33" spans="1:59" s="1" customFormat="1" ht="30" customHeight="1">
      <c r="A33" s="218" t="s">
        <v>178</v>
      </c>
      <c r="B33" s="96" t="s">
        <v>179</v>
      </c>
      <c r="C33" s="96" t="s">
        <v>180</v>
      </c>
      <c r="D33" s="96" t="s">
        <v>181</v>
      </c>
      <c r="E33" s="93"/>
      <c r="F33" s="93"/>
      <c r="G33" s="93"/>
      <c r="H33" s="94"/>
      <c r="I33" s="94"/>
      <c r="J33" s="94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</row>
    <row r="34" spans="1:59" s="1" customFormat="1" ht="30" customHeight="1">
      <c r="A34" s="219"/>
      <c r="B34" s="96" t="s">
        <v>182</v>
      </c>
      <c r="C34" s="96" t="s">
        <v>183</v>
      </c>
      <c r="D34" s="96" t="s">
        <v>184</v>
      </c>
      <c r="E34" s="93"/>
      <c r="F34" s="93"/>
      <c r="G34" s="93"/>
      <c r="H34" s="94"/>
      <c r="I34" s="94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</row>
    <row r="35" spans="1:59" s="1" customFormat="1" ht="21" customHeight="1">
      <c r="A35" s="204" t="s">
        <v>185</v>
      </c>
      <c r="B35" s="97" t="s">
        <v>186</v>
      </c>
      <c r="C35" s="205"/>
      <c r="D35" s="205">
        <f>ROUND(1/(30*B38)*C35,2)</f>
        <v>0</v>
      </c>
      <c r="E35" s="93"/>
      <c r="F35" s="93"/>
      <c r="G35" s="93"/>
      <c r="H35" s="94"/>
      <c r="I35" s="94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</row>
    <row r="36" spans="1:59" s="1" customFormat="1" ht="21" customHeight="1">
      <c r="A36" s="204"/>
      <c r="B36" s="98" t="s">
        <v>191</v>
      </c>
      <c r="C36" s="205"/>
      <c r="D36" s="205"/>
      <c r="E36" s="93"/>
      <c r="F36" s="93"/>
      <c r="G36" s="93"/>
      <c r="H36" s="94"/>
      <c r="I36" s="94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</row>
    <row r="37" spans="1:59" s="1" customFormat="1" ht="21" customHeight="1">
      <c r="A37" s="204" t="s">
        <v>188</v>
      </c>
      <c r="B37" s="97" t="s">
        <v>186</v>
      </c>
      <c r="C37" s="205"/>
      <c r="D37" s="205">
        <f>ROUND((1/B38*C37),2)</f>
        <v>0</v>
      </c>
      <c r="E37" s="93"/>
      <c r="F37" s="93"/>
      <c r="G37" s="93"/>
      <c r="H37" s="94"/>
      <c r="I37" s="94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</row>
    <row r="38" spans="1:59" s="1" customFormat="1" ht="21" customHeight="1">
      <c r="A38" s="204"/>
      <c r="B38" s="99">
        <v>250</v>
      </c>
      <c r="C38" s="205"/>
      <c r="D38" s="205"/>
      <c r="E38" s="93"/>
      <c r="F38" s="93"/>
      <c r="G38" s="93"/>
      <c r="H38" s="94"/>
      <c r="I38" s="94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</row>
    <row r="39" spans="1:59" s="1" customFormat="1" ht="21" customHeight="1">
      <c r="A39" s="234" t="s">
        <v>189</v>
      </c>
      <c r="B39" s="234"/>
      <c r="C39" s="234"/>
      <c r="D39" s="100">
        <f>D35+D37</f>
        <v>0</v>
      </c>
      <c r="E39" s="93"/>
      <c r="F39" s="93"/>
      <c r="G39" s="93"/>
      <c r="H39" s="94"/>
      <c r="I39" s="94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</row>
    <row r="40" spans="1:59" s="1" customFormat="1" ht="21" customHeight="1">
      <c r="A40" s="101"/>
      <c r="B40" s="101"/>
      <c r="C40" s="101"/>
      <c r="D40" s="102"/>
      <c r="E40" s="93"/>
      <c r="F40" s="93"/>
      <c r="G40" s="93"/>
      <c r="H40" s="94"/>
      <c r="I40" s="94"/>
      <c r="J40" s="94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</row>
    <row r="41" spans="1:59" s="1" customFormat="1" ht="21" customHeight="1">
      <c r="A41" s="235" t="s">
        <v>193</v>
      </c>
      <c r="B41" s="235"/>
      <c r="C41" s="235"/>
      <c r="D41" s="235"/>
      <c r="E41" s="93"/>
      <c r="F41" s="93"/>
      <c r="G41" s="93"/>
      <c r="H41" s="94"/>
      <c r="I41" s="94"/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</row>
    <row r="42" spans="1:59" s="1" customFormat="1" ht="17.25" customHeight="1">
      <c r="A42" s="236"/>
      <c r="B42" s="236"/>
      <c r="C42" s="236"/>
      <c r="D42" s="236"/>
      <c r="E42" s="93"/>
      <c r="F42" s="93"/>
      <c r="G42" s="93"/>
      <c r="H42" s="94"/>
      <c r="I42" s="94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</row>
    <row r="43" spans="1:59" s="1" customFormat="1" ht="15" customHeight="1">
      <c r="A43" s="237" t="s">
        <v>194</v>
      </c>
      <c r="B43" s="238"/>
      <c r="C43" s="238"/>
      <c r="D43" s="239"/>
      <c r="E43" s="104"/>
      <c r="F43" s="104"/>
      <c r="G43" s="104"/>
      <c r="H43" s="105"/>
      <c r="I43" s="105"/>
      <c r="J43" s="105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</row>
    <row r="44" spans="1:59" s="1" customFormat="1" ht="15.75">
      <c r="A44" s="218" t="s">
        <v>178</v>
      </c>
      <c r="B44" s="96" t="s">
        <v>179</v>
      </c>
      <c r="C44" s="96" t="s">
        <v>195</v>
      </c>
      <c r="D44" s="96" t="s">
        <v>196</v>
      </c>
      <c r="E44" s="106"/>
      <c r="F44" s="107"/>
      <c r="G44" s="107"/>
      <c r="H44" s="105"/>
      <c r="I44" s="105"/>
      <c r="J44" s="105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</row>
    <row r="45" spans="1:59" s="1" customFormat="1" ht="39.75" customHeight="1">
      <c r="A45" s="219"/>
      <c r="B45" s="96" t="s">
        <v>182</v>
      </c>
      <c r="C45" s="96" t="s">
        <v>197</v>
      </c>
      <c r="D45" s="96" t="s">
        <v>184</v>
      </c>
      <c r="E45" s="106"/>
      <c r="F45" s="107"/>
      <c r="G45" s="107"/>
      <c r="H45" s="105"/>
      <c r="I45" s="105"/>
      <c r="J45" s="105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</row>
    <row r="46" spans="1:59" s="1" customFormat="1" ht="15.75">
      <c r="A46" s="220" t="s">
        <v>185</v>
      </c>
      <c r="B46" s="108" t="s">
        <v>186</v>
      </c>
      <c r="C46" s="205"/>
      <c r="D46" s="205">
        <f>ROUND(1/(30*B49)*C46,2)</f>
        <v>0</v>
      </c>
      <c r="E46" s="233"/>
      <c r="F46" s="107"/>
      <c r="G46" s="107"/>
      <c r="H46" s="105"/>
      <c r="I46" s="105"/>
      <c r="J46" s="105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</row>
    <row r="47" spans="1:59" s="1" customFormat="1" ht="15.75">
      <c r="A47" s="220"/>
      <c r="B47" s="109" t="s">
        <v>198</v>
      </c>
      <c r="C47" s="205"/>
      <c r="D47" s="205"/>
      <c r="E47" s="233"/>
      <c r="F47" s="107"/>
      <c r="G47" s="107"/>
      <c r="H47" s="105"/>
      <c r="I47" s="105"/>
      <c r="J47" s="105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</row>
    <row r="48" spans="1:59" s="1" customFormat="1" ht="15.75">
      <c r="A48" s="220" t="s">
        <v>188</v>
      </c>
      <c r="B48" s="108" t="s">
        <v>186</v>
      </c>
      <c r="C48" s="223"/>
      <c r="D48" s="205">
        <f>ROUND((1/B49*C48),2)</f>
        <v>0</v>
      </c>
      <c r="E48" s="233"/>
      <c r="F48" s="107"/>
      <c r="G48" s="107"/>
      <c r="H48" s="105"/>
      <c r="I48" s="105"/>
      <c r="J48" s="105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</row>
    <row r="49" spans="1:59" s="1" customFormat="1" ht="15.75">
      <c r="A49" s="220"/>
      <c r="B49" s="99">
        <v>2250</v>
      </c>
      <c r="C49" s="223"/>
      <c r="D49" s="205"/>
      <c r="E49" s="233"/>
      <c r="F49" s="107"/>
      <c r="G49" s="107"/>
      <c r="H49" s="105"/>
      <c r="I49" s="105"/>
      <c r="J49" s="105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</row>
    <row r="50" spans="1:59" s="1" customFormat="1" ht="14.25" customHeight="1">
      <c r="A50" s="110" t="s">
        <v>189</v>
      </c>
      <c r="B50" s="110"/>
      <c r="C50" s="110"/>
      <c r="D50" s="111">
        <f>SUM(D46:D49)</f>
        <v>0</v>
      </c>
      <c r="E50" s="112"/>
      <c r="F50" s="112"/>
      <c r="G50" s="107"/>
      <c r="H50" s="105"/>
      <c r="I50" s="105"/>
      <c r="J50" s="105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</row>
    <row r="51" spans="1:59" s="1" customFormat="1" ht="14.25" customHeight="1">
      <c r="A51" s="112"/>
      <c r="B51" s="112"/>
      <c r="C51" s="112"/>
      <c r="D51" s="113"/>
      <c r="E51" s="112"/>
      <c r="F51" s="112"/>
      <c r="G51" s="107"/>
      <c r="H51" s="105"/>
      <c r="I51" s="105"/>
      <c r="J51" s="105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</row>
    <row r="52" spans="1:59" s="1" customFormat="1" ht="14.25" customHeight="1">
      <c r="A52" s="225" t="s">
        <v>199</v>
      </c>
      <c r="B52" s="225"/>
      <c r="C52" s="225"/>
      <c r="D52" s="225"/>
      <c r="E52" s="225"/>
      <c r="F52" s="225"/>
      <c r="G52" s="225"/>
      <c r="H52" s="105"/>
      <c r="I52" s="105"/>
      <c r="J52" s="105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</row>
    <row r="53" spans="1:59" s="1" customFormat="1" ht="21" customHeight="1">
      <c r="A53" s="226"/>
      <c r="B53" s="226"/>
      <c r="C53" s="226"/>
      <c r="D53" s="226"/>
      <c r="E53" s="226"/>
      <c r="F53" s="226"/>
      <c r="G53" s="22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</row>
    <row r="54" spans="1:59" s="1" customFormat="1" ht="21" customHeight="1">
      <c r="A54" s="227" t="s">
        <v>200</v>
      </c>
      <c r="B54" s="227"/>
      <c r="C54" s="227"/>
      <c r="D54" s="227"/>
      <c r="E54" s="227"/>
      <c r="F54" s="227"/>
      <c r="G54" s="227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</row>
    <row r="55" spans="1:59" s="1" customFormat="1" ht="21" customHeight="1">
      <c r="A55" s="218" t="s">
        <v>178</v>
      </c>
      <c r="B55" s="96" t="s">
        <v>179</v>
      </c>
      <c r="C55" s="96" t="s">
        <v>180</v>
      </c>
      <c r="D55" s="96" t="s">
        <v>201</v>
      </c>
      <c r="E55" s="96" t="s">
        <v>202</v>
      </c>
      <c r="F55" s="96" t="s">
        <v>195</v>
      </c>
      <c r="G55" s="96" t="s">
        <v>196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</row>
    <row r="56" spans="1:59" s="1" customFormat="1" ht="62.25" customHeight="1">
      <c r="A56" s="219"/>
      <c r="B56" s="96" t="s">
        <v>182</v>
      </c>
      <c r="C56" s="96" t="s">
        <v>203</v>
      </c>
      <c r="D56" s="96" t="s">
        <v>204</v>
      </c>
      <c r="E56" s="96" t="s">
        <v>205</v>
      </c>
      <c r="F56" s="96" t="s">
        <v>197</v>
      </c>
      <c r="G56" s="96" t="s">
        <v>184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</row>
    <row r="57" spans="1:59" s="1" customFormat="1" ht="21" customHeight="1">
      <c r="A57" s="228" t="s">
        <v>185</v>
      </c>
      <c r="B57" s="114" t="s">
        <v>186</v>
      </c>
      <c r="C57" s="229">
        <v>16</v>
      </c>
      <c r="D57" s="114" t="s">
        <v>186</v>
      </c>
      <c r="E57" s="231" t="e">
        <f>H58*I58*J58</f>
        <v>#DIV/0!</v>
      </c>
      <c r="F57" s="232"/>
      <c r="G57" s="232" t="e">
        <f>ROUND((E57*F57),2)</f>
        <v>#DIV/0!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</row>
    <row r="58" spans="1:59" s="1" customFormat="1" ht="21" customHeight="1">
      <c r="A58" s="228"/>
      <c r="B58" s="115" t="s">
        <v>206</v>
      </c>
      <c r="C58" s="230"/>
      <c r="D58" s="116"/>
      <c r="E58" s="231"/>
      <c r="F58" s="232"/>
      <c r="G58" s="232"/>
      <c r="H58" s="91">
        <f>1/(30*B60)</f>
        <v>9.8039215686274506E-5</v>
      </c>
      <c r="I58" s="91">
        <v>16</v>
      </c>
      <c r="J58" s="91" t="e">
        <f>1/D58</f>
        <v>#DIV/0!</v>
      </c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</row>
    <row r="59" spans="1:59" s="1" customFormat="1" ht="21" customHeight="1">
      <c r="A59" s="228" t="s">
        <v>188</v>
      </c>
      <c r="B59" s="114" t="s">
        <v>186</v>
      </c>
      <c r="C59" s="229">
        <v>16</v>
      </c>
      <c r="D59" s="114" t="s">
        <v>186</v>
      </c>
      <c r="E59" s="231" t="e">
        <f>H59*I59*J59</f>
        <v>#DIV/0!</v>
      </c>
      <c r="F59" s="232"/>
      <c r="G59" s="232" t="e">
        <f>ROUND((E59*F59),2)</f>
        <v>#DIV/0!</v>
      </c>
      <c r="H59" s="91">
        <f>1/B60</f>
        <v>2.9411764705882353E-3</v>
      </c>
      <c r="I59" s="91">
        <v>16</v>
      </c>
      <c r="J59" s="91" t="e">
        <f>1/D60</f>
        <v>#DIV/0!</v>
      </c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</row>
    <row r="60" spans="1:59" s="1" customFormat="1" ht="21" customHeight="1">
      <c r="A60" s="228"/>
      <c r="B60" s="99">
        <v>340</v>
      </c>
      <c r="C60" s="230"/>
      <c r="D60" s="116"/>
      <c r="E60" s="231"/>
      <c r="F60" s="232"/>
      <c r="G60" s="232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</row>
    <row r="61" spans="1:59" s="1" customFormat="1" ht="21" customHeight="1">
      <c r="A61" s="224" t="s">
        <v>189</v>
      </c>
      <c r="B61" s="224"/>
      <c r="C61" s="224"/>
      <c r="D61" s="224"/>
      <c r="E61" s="224"/>
      <c r="F61" s="224"/>
      <c r="G61" s="117" t="e">
        <f>SUM(G57:G60)</f>
        <v>#DIV/0!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</row>
    <row r="62" spans="1:59" s="1" customFormat="1" ht="21" customHeight="1">
      <c r="A62" s="118"/>
      <c r="B62" s="118"/>
      <c r="C62" s="118"/>
      <c r="D62" s="118"/>
      <c r="E62" s="118"/>
      <c r="F62" s="118"/>
      <c r="G62" s="113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</row>
    <row r="63" spans="1:59" s="1" customFormat="1" ht="25.5" customHeight="1">
      <c r="A63" s="217" t="s">
        <v>207</v>
      </c>
      <c r="B63" s="217"/>
      <c r="C63" s="217"/>
      <c r="D63" s="217"/>
      <c r="E63" s="217"/>
      <c r="F63" s="217"/>
      <c r="G63" s="217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</row>
    <row r="64" spans="1:59" s="1" customFormat="1" ht="22.5" customHeight="1">
      <c r="A64" s="218" t="s">
        <v>178</v>
      </c>
      <c r="B64" s="96" t="s">
        <v>179</v>
      </c>
      <c r="C64" s="96" t="s">
        <v>180</v>
      </c>
      <c r="D64" s="96" t="s">
        <v>201</v>
      </c>
      <c r="E64" s="96" t="s">
        <v>202</v>
      </c>
      <c r="F64" s="96" t="s">
        <v>195</v>
      </c>
      <c r="G64" s="96" t="s">
        <v>196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</row>
    <row r="65" spans="1:59" s="1" customFormat="1" ht="59.25" customHeight="1">
      <c r="A65" s="219"/>
      <c r="B65" s="96" t="s">
        <v>182</v>
      </c>
      <c r="C65" s="96" t="s">
        <v>208</v>
      </c>
      <c r="D65" s="96" t="s">
        <v>209</v>
      </c>
      <c r="E65" s="96" t="s">
        <v>205</v>
      </c>
      <c r="F65" s="96" t="s">
        <v>197</v>
      </c>
      <c r="G65" s="96" t="s">
        <v>184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</row>
    <row r="66" spans="1:59" s="1" customFormat="1" ht="21" customHeight="1">
      <c r="A66" s="220" t="s">
        <v>185</v>
      </c>
      <c r="B66" s="108" t="s">
        <v>186</v>
      </c>
      <c r="C66" s="221">
        <v>16</v>
      </c>
      <c r="D66" s="108" t="s">
        <v>186</v>
      </c>
      <c r="E66" s="222" t="e">
        <f>H67*I67*J67</f>
        <v>#DIV/0!</v>
      </c>
      <c r="F66" s="223"/>
      <c r="G66" s="223" t="e">
        <f>ROUND(E66*F66,2)</f>
        <v>#DIV/0!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</row>
    <row r="67" spans="1:59" s="1" customFormat="1" ht="21" customHeight="1">
      <c r="A67" s="220"/>
      <c r="B67" s="109" t="s">
        <v>210</v>
      </c>
      <c r="C67" s="221"/>
      <c r="D67" s="119"/>
      <c r="E67" s="222"/>
      <c r="F67" s="223"/>
      <c r="G67" s="223"/>
      <c r="H67" s="91">
        <f>1/(30*B69)</f>
        <v>2.2988505747126436E-4</v>
      </c>
      <c r="I67" s="91">
        <v>16</v>
      </c>
      <c r="J67" s="91" t="e">
        <f>1/D67</f>
        <v>#DIV/0!</v>
      </c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</row>
    <row r="68" spans="1:59" s="1" customFormat="1" ht="21" customHeight="1">
      <c r="A68" s="220" t="s">
        <v>188</v>
      </c>
      <c r="B68" s="108" t="s">
        <v>186</v>
      </c>
      <c r="C68" s="221">
        <v>16</v>
      </c>
      <c r="D68" s="108" t="s">
        <v>186</v>
      </c>
      <c r="E68" s="222" t="e">
        <f>H68*I68*J68</f>
        <v>#DIV/0!</v>
      </c>
      <c r="F68" s="223"/>
      <c r="G68" s="223" t="e">
        <f>ROUND((E68*F68),2)</f>
        <v>#DIV/0!</v>
      </c>
      <c r="H68" s="91">
        <f>1/B69</f>
        <v>6.8965517241379309E-3</v>
      </c>
      <c r="I68" s="91">
        <v>16</v>
      </c>
      <c r="J68" s="91" t="e">
        <f>1/D69</f>
        <v>#DIV/0!</v>
      </c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</row>
    <row r="69" spans="1:59" s="1" customFormat="1" ht="21" customHeight="1">
      <c r="A69" s="220"/>
      <c r="B69" s="99">
        <v>145</v>
      </c>
      <c r="C69" s="221"/>
      <c r="D69" s="119">
        <f>D67</f>
        <v>0</v>
      </c>
      <c r="E69" s="222"/>
      <c r="F69" s="223"/>
      <c r="G69" s="223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</row>
    <row r="70" spans="1:59" s="1" customFormat="1" ht="21" customHeight="1">
      <c r="A70" s="217" t="s">
        <v>189</v>
      </c>
      <c r="B70" s="217"/>
      <c r="C70" s="217"/>
      <c r="D70" s="217"/>
      <c r="E70" s="217"/>
      <c r="F70" s="217"/>
      <c r="G70" s="111" t="e">
        <f>SUM(G66:G69)</f>
        <v>#DIV/0!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</row>
    <row r="71" spans="1:59" s="1" customFormat="1" ht="21" customHeight="1">
      <c r="A71" s="118"/>
      <c r="B71" s="118"/>
      <c r="C71" s="118"/>
      <c r="D71" s="118"/>
      <c r="E71" s="118"/>
      <c r="F71" s="118"/>
      <c r="G71" s="113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</row>
    <row r="72" spans="1:59" s="1" customFormat="1" ht="45">
      <c r="A72" s="96" t="s">
        <v>211</v>
      </c>
      <c r="B72" s="96" t="s">
        <v>212</v>
      </c>
      <c r="C72" s="96" t="s">
        <v>213</v>
      </c>
      <c r="D72" s="96" t="s">
        <v>214</v>
      </c>
      <c r="E72" s="96" t="s">
        <v>215</v>
      </c>
      <c r="F72" s="96" t="s">
        <v>216</v>
      </c>
      <c r="G72" s="96" t="s">
        <v>217</v>
      </c>
      <c r="H72" s="96" t="s">
        <v>218</v>
      </c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</row>
    <row r="73" spans="1:59" s="1" customFormat="1" ht="28.5">
      <c r="A73" s="207" t="s">
        <v>234</v>
      </c>
      <c r="B73" s="120" t="s">
        <v>237</v>
      </c>
      <c r="C73" s="121">
        <v>1952.02</v>
      </c>
      <c r="D73" s="208" t="s">
        <v>219</v>
      </c>
      <c r="E73" s="122">
        <v>1000</v>
      </c>
      <c r="F73" s="210">
        <f>SUM(C73:C76)</f>
        <v>2338.79</v>
      </c>
      <c r="G73" s="123">
        <f>D12</f>
        <v>0</v>
      </c>
      <c r="H73" s="124">
        <f t="shared" ref="H73:H76" si="0">C73*G73</f>
        <v>0</v>
      </c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59" s="1" customFormat="1" ht="28.5">
      <c r="A74" s="207"/>
      <c r="B74" s="136" t="s">
        <v>240</v>
      </c>
      <c r="C74" s="121">
        <v>86.77</v>
      </c>
      <c r="D74" s="208"/>
      <c r="E74" s="122">
        <v>1400</v>
      </c>
      <c r="F74" s="210"/>
      <c r="G74" s="123"/>
      <c r="H74" s="124">
        <f>C74*G74</f>
        <v>0</v>
      </c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</row>
    <row r="75" spans="1:59" s="1" customFormat="1">
      <c r="A75" s="207"/>
      <c r="B75" s="120" t="s">
        <v>220</v>
      </c>
      <c r="C75" s="121">
        <v>246.54</v>
      </c>
      <c r="D75" s="208"/>
      <c r="E75" s="125">
        <v>250</v>
      </c>
      <c r="F75" s="210"/>
      <c r="G75" s="123">
        <f>D30</f>
        <v>0</v>
      </c>
      <c r="H75" s="124">
        <f t="shared" si="0"/>
        <v>0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</row>
    <row r="76" spans="1:59" s="1" customFormat="1">
      <c r="A76" s="207"/>
      <c r="B76" s="120" t="s">
        <v>221</v>
      </c>
      <c r="C76" s="121">
        <v>53.46</v>
      </c>
      <c r="D76" s="209"/>
      <c r="E76" s="125">
        <v>250</v>
      </c>
      <c r="F76" s="210"/>
      <c r="G76" s="123">
        <f>D39</f>
        <v>0</v>
      </c>
      <c r="H76" s="124">
        <f t="shared" si="0"/>
        <v>0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</row>
    <row r="77" spans="1:59" s="1" customFormat="1" ht="27.75" customHeight="1">
      <c r="A77" s="96" t="s">
        <v>222</v>
      </c>
      <c r="B77" s="96"/>
      <c r="C77" s="96"/>
      <c r="D77" s="96"/>
      <c r="E77" s="96"/>
      <c r="F77" s="96"/>
      <c r="G77" s="96"/>
      <c r="H77" s="126">
        <f>SUM(H73:H76)</f>
        <v>0</v>
      </c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</row>
    <row r="78" spans="1:59" s="1" customFormat="1" ht="28.5">
      <c r="A78" s="127" t="s">
        <v>223</v>
      </c>
      <c r="B78" s="127" t="s">
        <v>241</v>
      </c>
      <c r="C78" s="128">
        <v>1372.3</v>
      </c>
      <c r="D78" s="128" t="s">
        <v>219</v>
      </c>
      <c r="E78" s="129">
        <v>2250</v>
      </c>
      <c r="F78" s="130">
        <f>C78</f>
        <v>1372.3</v>
      </c>
      <c r="G78" s="131">
        <f>D50</f>
        <v>0</v>
      </c>
      <c r="H78" s="124">
        <f>C78*G78</f>
        <v>0</v>
      </c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</row>
    <row r="79" spans="1:59" s="1" customFormat="1" ht="27.75" customHeight="1">
      <c r="A79" s="211" t="s">
        <v>224</v>
      </c>
      <c r="B79" s="212"/>
      <c r="C79" s="212"/>
      <c r="D79" s="212"/>
      <c r="E79" s="212"/>
      <c r="F79" s="212"/>
      <c r="G79" s="213"/>
      <c r="H79" s="126">
        <f>H78</f>
        <v>0</v>
      </c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59" s="1" customFormat="1" ht="42.75">
      <c r="A80" s="207" t="s">
        <v>235</v>
      </c>
      <c r="B80" s="120" t="s">
        <v>225</v>
      </c>
      <c r="C80" s="121">
        <v>265.60000000000002</v>
      </c>
      <c r="D80" s="121" t="s">
        <v>226</v>
      </c>
      <c r="E80" s="122">
        <v>340</v>
      </c>
      <c r="F80" s="214">
        <v>531.20000000000005</v>
      </c>
      <c r="G80" s="132" t="e">
        <f>G61</f>
        <v>#DIV/0!</v>
      </c>
      <c r="H80" s="124" t="e">
        <f>C80*G80</f>
        <v>#DIV/0!</v>
      </c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</row>
    <row r="81" spans="1:59" s="1" customFormat="1" ht="28.5">
      <c r="A81" s="207"/>
      <c r="B81" s="120" t="s">
        <v>227</v>
      </c>
      <c r="C81" s="121">
        <v>265.60000000000002</v>
      </c>
      <c r="D81" s="121" t="s">
        <v>228</v>
      </c>
      <c r="E81" s="122">
        <v>340</v>
      </c>
      <c r="F81" s="214"/>
      <c r="G81" s="132" t="e">
        <f>G70</f>
        <v>#DIV/0!</v>
      </c>
      <c r="H81" s="124" t="e">
        <f>C81*G81</f>
        <v>#DIV/0!</v>
      </c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</row>
    <row r="82" spans="1:59" s="1" customFormat="1" ht="27.75" customHeight="1">
      <c r="A82" s="215" t="s">
        <v>229</v>
      </c>
      <c r="B82" s="215"/>
      <c r="C82" s="215"/>
      <c r="D82" s="215"/>
      <c r="E82" s="215"/>
      <c r="F82" s="215"/>
      <c r="G82" s="215"/>
      <c r="H82" s="126" t="e">
        <f>SUM(H80:H81)</f>
        <v>#DIV/0!</v>
      </c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</row>
    <row r="83" spans="1:59" s="1" customFormat="1" ht="26.25" customHeight="1">
      <c r="A83" s="206" t="s">
        <v>230</v>
      </c>
      <c r="B83" s="206"/>
      <c r="C83" s="206"/>
      <c r="D83" s="206"/>
      <c r="E83" s="206"/>
      <c r="F83" s="206"/>
      <c r="G83" s="206"/>
      <c r="H83" s="133" t="e">
        <f>H77+H79+H82</f>
        <v>#DIV/0!</v>
      </c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</row>
    <row r="84" spans="1:59" s="1" customFormat="1" ht="26.25" customHeight="1">
      <c r="A84" s="206" t="s">
        <v>231</v>
      </c>
      <c r="B84" s="206"/>
      <c r="C84" s="206"/>
      <c r="D84" s="206"/>
      <c r="E84" s="206"/>
      <c r="F84" s="206"/>
      <c r="G84" s="206"/>
      <c r="H84" s="134">
        <v>12</v>
      </c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</row>
    <row r="85" spans="1:59" s="1" customFormat="1" ht="25.5" customHeight="1">
      <c r="A85" s="206" t="s">
        <v>232</v>
      </c>
      <c r="B85" s="206"/>
      <c r="C85" s="206"/>
      <c r="D85" s="206"/>
      <c r="E85" s="206"/>
      <c r="F85" s="206"/>
      <c r="G85" s="206"/>
      <c r="H85" s="133" t="e">
        <f>H83*H84</f>
        <v>#DIV/0!</v>
      </c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59" s="1" customFormat="1" ht="0.75" hidden="1" customHeight="1">
      <c r="A86" s="216"/>
      <c r="B86" s="216"/>
      <c r="C86" s="216"/>
      <c r="D86" s="216"/>
      <c r="E86" s="216"/>
      <c r="F86" s="216"/>
      <c r="G86" s="216"/>
      <c r="H86" s="133" t="e">
        <f>H83-#REF!</f>
        <v>#DIV/0!</v>
      </c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</row>
    <row r="87" spans="1:59" s="1" customFormat="1" ht="26.25" customHeight="1">
      <c r="A87" s="206" t="s">
        <v>233</v>
      </c>
      <c r="B87" s="206"/>
      <c r="C87" s="206"/>
      <c r="D87" s="206"/>
      <c r="E87" s="206"/>
      <c r="F87" s="206"/>
      <c r="G87" s="206"/>
      <c r="H87" s="135" t="e">
        <f>ROUNDUP(J87,1)</f>
        <v>#DIV/0!</v>
      </c>
      <c r="I87" s="91"/>
      <c r="J87" s="139" t="e">
        <f>(H83-C8)/C10</f>
        <v>#DIV/0!</v>
      </c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</row>
    <row r="91" spans="1:59">
      <c r="H91" s="137"/>
    </row>
    <row r="92" spans="1:59">
      <c r="H92" s="138"/>
    </row>
  </sheetData>
  <mergeCells count="88">
    <mergeCell ref="A24:A25"/>
    <mergeCell ref="A1:H1"/>
    <mergeCell ref="A3:D4"/>
    <mergeCell ref="A5:D5"/>
    <mergeCell ref="A6:A7"/>
    <mergeCell ref="A8:A9"/>
    <mergeCell ref="C8:C9"/>
    <mergeCell ref="D8:D9"/>
    <mergeCell ref="A10:A11"/>
    <mergeCell ref="C10:C11"/>
    <mergeCell ref="D10:D11"/>
    <mergeCell ref="A12:C12"/>
    <mergeCell ref="A23:D23"/>
    <mergeCell ref="A14:D14"/>
    <mergeCell ref="A21:C21"/>
    <mergeCell ref="A15:A16"/>
    <mergeCell ref="A26:A27"/>
    <mergeCell ref="C26:C27"/>
    <mergeCell ref="D26:D27"/>
    <mergeCell ref="A28:A29"/>
    <mergeCell ref="C28:C29"/>
    <mergeCell ref="D28:D29"/>
    <mergeCell ref="A30:C30"/>
    <mergeCell ref="A32:D32"/>
    <mergeCell ref="A33:A34"/>
    <mergeCell ref="A35:A36"/>
    <mergeCell ref="C35:C36"/>
    <mergeCell ref="D35:D36"/>
    <mergeCell ref="A48:A49"/>
    <mergeCell ref="C48:C49"/>
    <mergeCell ref="D48:D49"/>
    <mergeCell ref="E48:E49"/>
    <mergeCell ref="A37:A38"/>
    <mergeCell ref="C37:C38"/>
    <mergeCell ref="D37:D38"/>
    <mergeCell ref="A39:C39"/>
    <mergeCell ref="A41:D42"/>
    <mergeCell ref="A43:D43"/>
    <mergeCell ref="A44:A45"/>
    <mergeCell ref="A46:A47"/>
    <mergeCell ref="C46:C47"/>
    <mergeCell ref="D46:D47"/>
    <mergeCell ref="E46:E47"/>
    <mergeCell ref="A61:F61"/>
    <mergeCell ref="A52:G53"/>
    <mergeCell ref="A54:G54"/>
    <mergeCell ref="A55:A56"/>
    <mergeCell ref="A57:A58"/>
    <mergeCell ref="C57:C58"/>
    <mergeCell ref="E57:E58"/>
    <mergeCell ref="F57:F58"/>
    <mergeCell ref="G57:G58"/>
    <mergeCell ref="A59:A60"/>
    <mergeCell ref="C59:C60"/>
    <mergeCell ref="E59:E60"/>
    <mergeCell ref="F59:F60"/>
    <mergeCell ref="G59:G60"/>
    <mergeCell ref="A70:F70"/>
    <mergeCell ref="A63:G63"/>
    <mergeCell ref="A64:A65"/>
    <mergeCell ref="A66:A67"/>
    <mergeCell ref="C66:C67"/>
    <mergeCell ref="E66:E67"/>
    <mergeCell ref="F66:F67"/>
    <mergeCell ref="G66:G67"/>
    <mergeCell ref="A68:A69"/>
    <mergeCell ref="C68:C69"/>
    <mergeCell ref="E68:E69"/>
    <mergeCell ref="F68:F69"/>
    <mergeCell ref="G68:G69"/>
    <mergeCell ref="A87:G87"/>
    <mergeCell ref="A73:A76"/>
    <mergeCell ref="D73:D76"/>
    <mergeCell ref="F73:F76"/>
    <mergeCell ref="A79:G79"/>
    <mergeCell ref="A80:A81"/>
    <mergeCell ref="F80:F81"/>
    <mergeCell ref="A82:G82"/>
    <mergeCell ref="A83:G83"/>
    <mergeCell ref="A84:G84"/>
    <mergeCell ref="A85:G85"/>
    <mergeCell ref="A86:G86"/>
    <mergeCell ref="A17:A18"/>
    <mergeCell ref="C17:C18"/>
    <mergeCell ref="D17:D18"/>
    <mergeCell ref="A19:A20"/>
    <mergeCell ref="C19:C20"/>
    <mergeCell ref="D19:D2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0"/>
  <sheetViews>
    <sheetView topLeftCell="A16" workbookViewId="0">
      <selection activeCell="H22" sqref="H22"/>
    </sheetView>
  </sheetViews>
  <sheetFormatPr defaultRowHeight="14.25"/>
  <cols>
    <col min="2" max="2" width="49.5" customWidth="1"/>
    <col min="3" max="3" width="15.5" customWidth="1"/>
    <col min="4" max="4" width="12.5" customWidth="1"/>
  </cols>
  <sheetData>
    <row r="1" spans="1:4" s="66" customFormat="1" ht="14.25" customHeight="1">
      <c r="A1" s="156"/>
      <c r="B1" s="157"/>
      <c r="C1" s="157"/>
      <c r="D1" s="157"/>
    </row>
    <row r="2" spans="1:4" s="66" customFormat="1" ht="14.25" customHeight="1">
      <c r="A2" s="67"/>
      <c r="B2" s="67"/>
      <c r="C2" s="67"/>
      <c r="D2" s="67"/>
    </row>
    <row r="3" spans="1:4" s="66" customFormat="1" ht="14.25" customHeight="1" thickBot="1">
      <c r="A3" s="143" t="s">
        <v>0</v>
      </c>
      <c r="B3" s="144"/>
      <c r="C3" s="144"/>
      <c r="D3" s="144"/>
    </row>
    <row r="4" spans="1:4" s="66" customFormat="1" ht="14.25" customHeight="1" thickBot="1">
      <c r="A4" s="9" t="s">
        <v>1</v>
      </c>
      <c r="B4" s="10" t="s">
        <v>2</v>
      </c>
      <c r="C4" s="158">
        <f>ASG!C4</f>
        <v>44692</v>
      </c>
      <c r="D4" s="163"/>
    </row>
    <row r="5" spans="1:4" s="66" customFormat="1" ht="14.25" customHeight="1" thickBot="1">
      <c r="A5" s="9" t="s">
        <v>3</v>
      </c>
      <c r="B5" s="10" t="s">
        <v>4</v>
      </c>
      <c r="C5" s="158" t="str">
        <f>ASG!C5</f>
        <v>Recife / PE</v>
      </c>
      <c r="D5" s="163"/>
    </row>
    <row r="6" spans="1:4" s="66" customFormat="1" ht="14.25" customHeight="1" thickBot="1">
      <c r="A6" s="9" t="s">
        <v>5</v>
      </c>
      <c r="B6" s="10" t="s">
        <v>6</v>
      </c>
      <c r="C6" s="154" t="str">
        <f>ASG!C6</f>
        <v>PE000089/2022</v>
      </c>
      <c r="D6" s="148"/>
    </row>
    <row r="7" spans="1:4" s="66" customFormat="1" ht="14.25" customHeight="1" thickBot="1">
      <c r="A7" s="9" t="s">
        <v>7</v>
      </c>
      <c r="B7" s="10" t="s">
        <v>8</v>
      </c>
      <c r="C7" s="154">
        <v>12</v>
      </c>
      <c r="D7" s="148"/>
    </row>
    <row r="8" spans="1:4" s="66" customFormat="1" ht="14.25" customHeight="1">
      <c r="A8" s="67"/>
      <c r="B8" s="67"/>
      <c r="C8" s="67"/>
      <c r="D8" s="67"/>
    </row>
    <row r="9" spans="1:4" s="66" customFormat="1" ht="14.25" customHeight="1" thickBot="1">
      <c r="A9" s="143" t="s">
        <v>9</v>
      </c>
      <c r="B9" s="144"/>
      <c r="C9" s="144"/>
      <c r="D9" s="144"/>
    </row>
    <row r="10" spans="1:4" s="66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s="66" customFormat="1" ht="14.25" customHeight="1" thickBot="1">
      <c r="A11" s="154" t="s">
        <v>136</v>
      </c>
      <c r="B11" s="148"/>
      <c r="C11" s="9" t="s">
        <v>13</v>
      </c>
      <c r="D11" s="9">
        <f>ASG!D11</f>
        <v>3</v>
      </c>
    </row>
    <row r="12" spans="1:4" s="66" customFormat="1" ht="14.25" customHeight="1" thickBot="1">
      <c r="A12" s="67"/>
      <c r="B12" s="67"/>
      <c r="C12" s="67"/>
      <c r="D12" s="67"/>
    </row>
    <row r="13" spans="1:4" s="66" customFormat="1" ht="14.25" customHeight="1" thickBot="1">
      <c r="A13" s="9">
        <v>1</v>
      </c>
      <c r="B13" s="10" t="s">
        <v>14</v>
      </c>
      <c r="C13" s="154" t="str">
        <f>A11</f>
        <v>Jardinagem</v>
      </c>
      <c r="D13" s="148"/>
    </row>
    <row r="14" spans="1:4" s="66" customFormat="1" ht="14.25" customHeight="1" thickBot="1">
      <c r="A14" s="9">
        <v>2</v>
      </c>
      <c r="B14" s="10" t="s">
        <v>15</v>
      </c>
      <c r="C14" s="154" t="s">
        <v>138</v>
      </c>
      <c r="D14" s="148"/>
    </row>
    <row r="15" spans="1:4" s="66" customFormat="1" ht="14.25" customHeight="1" thickBot="1">
      <c r="A15" s="9">
        <v>3</v>
      </c>
      <c r="B15" s="10" t="s">
        <v>16</v>
      </c>
      <c r="C15" s="160">
        <v>1180.96</v>
      </c>
      <c r="D15" s="161"/>
    </row>
    <row r="16" spans="1:4" s="66" customFormat="1" ht="14.25" customHeight="1" thickBot="1">
      <c r="A16" s="9">
        <v>4</v>
      </c>
      <c r="B16" s="10" t="s">
        <v>17</v>
      </c>
      <c r="C16" s="154" t="s">
        <v>137</v>
      </c>
      <c r="D16" s="148"/>
    </row>
    <row r="17" spans="1:4" s="66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4" s="66" customFormat="1" ht="14.25" customHeight="1">
      <c r="A18" s="67"/>
      <c r="B18" s="67"/>
      <c r="C18" s="67"/>
      <c r="D18" s="67"/>
    </row>
    <row r="19" spans="1:4" s="66" customFormat="1" ht="14.25" customHeight="1" thickBot="1">
      <c r="A19" s="143" t="s">
        <v>19</v>
      </c>
      <c r="B19" s="144"/>
      <c r="C19" s="144"/>
      <c r="D19" s="144"/>
    </row>
    <row r="20" spans="1:4" s="66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4" s="66" customFormat="1" ht="14.25" customHeight="1" thickBot="1">
      <c r="A21" s="14" t="s">
        <v>1</v>
      </c>
      <c r="B21" s="141" t="s">
        <v>22</v>
      </c>
      <c r="C21" s="142"/>
      <c r="D21" s="41">
        <f>C15</f>
        <v>1180.96</v>
      </c>
    </row>
    <row r="22" spans="1:4" s="66" customFormat="1" ht="14.25" customHeight="1" thickBot="1">
      <c r="A22" s="14" t="s">
        <v>3</v>
      </c>
      <c r="B22" s="141" t="s">
        <v>23</v>
      </c>
      <c r="C22" s="142"/>
      <c r="D22" s="41"/>
    </row>
    <row r="23" spans="1:4" s="66" customFormat="1" ht="14.25" customHeight="1" thickBot="1">
      <c r="A23" s="14" t="s">
        <v>5</v>
      </c>
      <c r="B23" s="141" t="s">
        <v>24</v>
      </c>
      <c r="C23" s="142"/>
      <c r="D23" s="41"/>
    </row>
    <row r="24" spans="1:4" s="66" customFormat="1" ht="14.25" customHeight="1" thickBot="1">
      <c r="A24" s="14" t="s">
        <v>7</v>
      </c>
      <c r="B24" s="141" t="s">
        <v>25</v>
      </c>
      <c r="C24" s="142"/>
      <c r="D24" s="41"/>
    </row>
    <row r="25" spans="1:4" s="66" customFormat="1" ht="14.25" customHeight="1" thickBot="1">
      <c r="A25" s="14" t="s">
        <v>26</v>
      </c>
      <c r="B25" s="141" t="s">
        <v>27</v>
      </c>
      <c r="C25" s="142"/>
      <c r="D25" s="41"/>
    </row>
    <row r="26" spans="1:4" s="66" customFormat="1" ht="14.25" customHeight="1" thickBot="1">
      <c r="A26" s="14"/>
      <c r="B26" s="141"/>
      <c r="C26" s="142"/>
      <c r="D26" s="41"/>
    </row>
    <row r="27" spans="1:4" s="66" customFormat="1" ht="14.25" customHeight="1" thickBot="1">
      <c r="A27" s="14" t="s">
        <v>28</v>
      </c>
      <c r="B27" s="153" t="s">
        <v>29</v>
      </c>
      <c r="C27" s="142"/>
      <c r="D27" s="41"/>
    </row>
    <row r="28" spans="1:4" s="66" customFormat="1" ht="14.25" customHeight="1" thickBot="1">
      <c r="A28" s="147" t="s">
        <v>30</v>
      </c>
      <c r="B28" s="150"/>
      <c r="C28" s="148"/>
      <c r="D28" s="42">
        <f>SUM(D21:D27)</f>
        <v>1180.96</v>
      </c>
    </row>
    <row r="29" spans="1:4" s="66" customFormat="1" ht="14.25" customHeight="1">
      <c r="A29" s="67"/>
      <c r="B29" s="67"/>
      <c r="C29" s="67"/>
      <c r="D29" s="67"/>
    </row>
    <row r="30" spans="1:4" s="66" customFormat="1" ht="14.25" customHeight="1">
      <c r="A30" s="143" t="s">
        <v>31</v>
      </c>
      <c r="B30" s="144"/>
      <c r="C30" s="144"/>
      <c r="D30" s="144"/>
    </row>
    <row r="31" spans="1:4" s="66" customFormat="1" ht="14.25" customHeight="1" thickBot="1">
      <c r="A31" s="151" t="s">
        <v>32</v>
      </c>
      <c r="B31" s="144"/>
      <c r="C31" s="144"/>
      <c r="D31" s="144"/>
    </row>
    <row r="32" spans="1:4" s="66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66" customFormat="1" ht="14.25" customHeight="1" thickBot="1">
      <c r="A33" s="14" t="s">
        <v>1</v>
      </c>
      <c r="B33" s="141" t="s">
        <v>35</v>
      </c>
      <c r="C33" s="142"/>
      <c r="D33" s="42">
        <f>D28*8.33%</f>
        <v>98.373968000000005</v>
      </c>
    </row>
    <row r="34" spans="1:7" s="66" customFormat="1" ht="14.25" customHeight="1" thickBot="1">
      <c r="A34" s="14" t="s">
        <v>3</v>
      </c>
      <c r="B34" s="153" t="s">
        <v>36</v>
      </c>
      <c r="C34" s="142"/>
      <c r="D34" s="42">
        <f>D28*12.1%</f>
        <v>142.89616000000001</v>
      </c>
    </row>
    <row r="35" spans="1:7" s="66" customFormat="1" ht="14.25" customHeight="1" thickBot="1">
      <c r="A35" s="147" t="s">
        <v>30</v>
      </c>
      <c r="B35" s="150"/>
      <c r="C35" s="148"/>
      <c r="D35" s="42">
        <f>SUM(D33:D34)</f>
        <v>241.270128</v>
      </c>
    </row>
    <row r="36" spans="1:7" s="66" customFormat="1" ht="14.25" customHeight="1">
      <c r="A36" s="67"/>
      <c r="B36" s="67"/>
      <c r="C36" s="67"/>
      <c r="D36" s="67"/>
    </row>
    <row r="37" spans="1:7" s="66" customFormat="1" ht="32.25" customHeight="1" thickBot="1">
      <c r="A37" s="171" t="s">
        <v>37</v>
      </c>
      <c r="B37" s="144"/>
      <c r="C37" s="144"/>
      <c r="D37" s="144"/>
    </row>
    <row r="38" spans="1:7" s="66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66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284.44602560000004</v>
      </c>
      <c r="G39" s="46">
        <f>D35+D28</f>
        <v>1422.2301280000001</v>
      </c>
    </row>
    <row r="40" spans="1:7" s="66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35.555753200000005</v>
      </c>
    </row>
    <row r="41" spans="1:7" s="66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42.666903840000003</v>
      </c>
    </row>
    <row r="42" spans="1:7" s="66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21.333451920000002</v>
      </c>
    </row>
    <row r="43" spans="1:7" s="66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14.222301280000002</v>
      </c>
    </row>
    <row r="44" spans="1:7" s="66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8.5333807680000007</v>
      </c>
    </row>
    <row r="45" spans="1:7" s="66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2.8444602560000005</v>
      </c>
    </row>
    <row r="46" spans="1:7" s="66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113.77841024000001</v>
      </c>
    </row>
    <row r="47" spans="1:7" s="66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523.38068710400012</v>
      </c>
    </row>
    <row r="48" spans="1:7" s="66" customFormat="1" ht="14.25" customHeight="1">
      <c r="A48" s="67"/>
      <c r="B48" s="67"/>
      <c r="C48" s="67"/>
      <c r="D48" s="67"/>
    </row>
    <row r="49" spans="1:4" s="66" customFormat="1" ht="14.25" customHeight="1" thickBot="1">
      <c r="A49" s="172" t="s">
        <v>52</v>
      </c>
      <c r="B49" s="144"/>
      <c r="C49" s="144"/>
      <c r="D49" s="144"/>
    </row>
    <row r="50" spans="1:4" s="66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66" customFormat="1" ht="14.25" customHeight="1" thickBot="1">
      <c r="A51" s="14" t="s">
        <v>1</v>
      </c>
      <c r="B51" s="165" t="s">
        <v>55</v>
      </c>
      <c r="C51" s="148"/>
      <c r="D51" s="41">
        <f>(ASG!H52*2*22)-(D21*6%)</f>
        <v>142.54239999999999</v>
      </c>
    </row>
    <row r="52" spans="1:4" s="66" customFormat="1" ht="14.25" customHeight="1" thickBot="1">
      <c r="A52" s="14" t="s">
        <v>3</v>
      </c>
      <c r="B52" s="165" t="s">
        <v>56</v>
      </c>
      <c r="C52" s="148"/>
      <c r="D52" s="44">
        <f>(7.65*22)*80%</f>
        <v>134.64000000000001</v>
      </c>
    </row>
    <row r="53" spans="1:4" s="66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66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66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</f>
        <v>0</v>
      </c>
    </row>
    <row r="56" spans="1:4" s="66" customFormat="1" ht="14.25" customHeight="1" thickBot="1">
      <c r="A56" s="147" t="s">
        <v>30</v>
      </c>
      <c r="B56" s="150"/>
      <c r="C56" s="148"/>
      <c r="D56" s="41">
        <f>SUM(D51:D55)</f>
        <v>277.18240000000003</v>
      </c>
    </row>
    <row r="57" spans="1:4" s="66" customFormat="1" ht="14.25" customHeight="1">
      <c r="A57" s="67"/>
      <c r="B57" s="67"/>
      <c r="C57" s="67"/>
      <c r="D57" s="67"/>
    </row>
    <row r="58" spans="1:4" s="66" customFormat="1" ht="14.25" customHeight="1" thickBot="1">
      <c r="A58" s="151" t="s">
        <v>57</v>
      </c>
      <c r="B58" s="144"/>
      <c r="C58" s="144"/>
      <c r="D58" s="144"/>
    </row>
    <row r="59" spans="1:4" s="66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4" s="66" customFormat="1" ht="14.25" customHeight="1" thickBot="1">
      <c r="A60" s="14" t="s">
        <v>33</v>
      </c>
      <c r="B60" s="165" t="s">
        <v>34</v>
      </c>
      <c r="C60" s="148"/>
      <c r="D60" s="41">
        <f>D35</f>
        <v>241.270128</v>
      </c>
    </row>
    <row r="61" spans="1:4" s="66" customFormat="1" ht="14.25" customHeight="1" thickBot="1">
      <c r="A61" s="14" t="s">
        <v>38</v>
      </c>
      <c r="B61" s="165" t="s">
        <v>39</v>
      </c>
      <c r="C61" s="148"/>
      <c r="D61" s="41">
        <f>D47</f>
        <v>523.38068710400012</v>
      </c>
    </row>
    <row r="62" spans="1:4" s="66" customFormat="1" ht="14.25" customHeight="1" thickBot="1">
      <c r="A62" s="22" t="s">
        <v>53</v>
      </c>
      <c r="B62" s="170" t="s">
        <v>54</v>
      </c>
      <c r="C62" s="148"/>
      <c r="D62" s="41">
        <f>D56</f>
        <v>277.18240000000003</v>
      </c>
    </row>
    <row r="63" spans="1:4" s="66" customFormat="1" ht="14.25" customHeight="1" thickBot="1">
      <c r="A63" s="147" t="s">
        <v>30</v>
      </c>
      <c r="B63" s="150"/>
      <c r="C63" s="148"/>
      <c r="D63" s="41">
        <f>SUM(D60:D62)</f>
        <v>1041.8332151040001</v>
      </c>
    </row>
    <row r="64" spans="1:4" s="66" customFormat="1" ht="14.25" customHeight="1">
      <c r="A64" s="6"/>
      <c r="B64" s="67"/>
      <c r="C64" s="67"/>
      <c r="D64" s="67"/>
    </row>
    <row r="65" spans="1:7" s="66" customFormat="1" ht="14.25" customHeight="1" thickBot="1">
      <c r="A65" s="143" t="s">
        <v>59</v>
      </c>
      <c r="B65" s="144"/>
      <c r="C65" s="144"/>
      <c r="D65" s="144"/>
    </row>
    <row r="66" spans="1:7" s="66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66" customFormat="1" ht="14.25" customHeight="1" thickBot="1">
      <c r="A67" s="14" t="s">
        <v>1</v>
      </c>
      <c r="B67" s="141" t="s">
        <v>61</v>
      </c>
      <c r="C67" s="142"/>
      <c r="D67" s="41">
        <f>$D$28*0.46%</f>
        <v>5.4324159999999999</v>
      </c>
    </row>
    <row r="68" spans="1:7" s="66" customFormat="1" ht="14.25" customHeight="1" thickBot="1">
      <c r="A68" s="14" t="s">
        <v>3</v>
      </c>
      <c r="B68" s="141" t="s">
        <v>62</v>
      </c>
      <c r="C68" s="142"/>
      <c r="D68" s="41">
        <f>D67*C46</f>
        <v>0.43459328000000003</v>
      </c>
    </row>
    <row r="69" spans="1:7" s="66" customFormat="1" ht="14.25" customHeight="1" thickBot="1">
      <c r="A69" s="14" t="s">
        <v>5</v>
      </c>
      <c r="B69" s="152" t="s">
        <v>63</v>
      </c>
      <c r="C69" s="142"/>
      <c r="D69" s="41">
        <f>D67*8%*40%</f>
        <v>0.17383731200000002</v>
      </c>
    </row>
    <row r="70" spans="1:7" s="66" customFormat="1" ht="14.25" customHeight="1" thickBot="1">
      <c r="A70" s="14" t="s">
        <v>7</v>
      </c>
      <c r="B70" s="141" t="s">
        <v>64</v>
      </c>
      <c r="C70" s="142"/>
      <c r="D70" s="41">
        <f>$D$28*1.94%</f>
        <v>22.910624000000002</v>
      </c>
    </row>
    <row r="71" spans="1:7" s="66" customFormat="1" ht="14.25" customHeight="1" thickBot="1">
      <c r="A71" s="23" t="s">
        <v>26</v>
      </c>
      <c r="B71" s="168" t="s">
        <v>65</v>
      </c>
      <c r="C71" s="169"/>
      <c r="D71" s="41">
        <f>D70*C47</f>
        <v>8.4311096320000019</v>
      </c>
    </row>
    <row r="72" spans="1:7" s="66" customFormat="1" ht="14.25" customHeight="1" thickBot="1">
      <c r="A72" s="22" t="s">
        <v>46</v>
      </c>
      <c r="B72" s="167" t="s">
        <v>66</v>
      </c>
      <c r="C72" s="148"/>
      <c r="D72" s="41">
        <f>$D$28*3.2%</f>
        <v>37.79072</v>
      </c>
    </row>
    <row r="73" spans="1:7" s="66" customFormat="1" ht="14.25" customHeight="1" thickBot="1">
      <c r="A73" s="147" t="s">
        <v>30</v>
      </c>
      <c r="B73" s="150"/>
      <c r="C73" s="148"/>
      <c r="D73" s="42">
        <f>SUM(D67:D72)</f>
        <v>75.173300224000002</v>
      </c>
    </row>
    <row r="74" spans="1:7" s="66" customFormat="1" ht="14.25" customHeight="1">
      <c r="A74" s="67"/>
      <c r="B74" s="67"/>
      <c r="C74" s="67"/>
      <c r="D74" s="67"/>
    </row>
    <row r="75" spans="1:7" s="66" customFormat="1" ht="14.25" customHeight="1">
      <c r="A75" s="143" t="s">
        <v>67</v>
      </c>
      <c r="B75" s="144"/>
      <c r="C75" s="144"/>
      <c r="D75" s="144"/>
    </row>
    <row r="76" spans="1:7" s="66" customFormat="1" ht="14.25" customHeight="1" thickBot="1">
      <c r="A76" s="151" t="s">
        <v>68</v>
      </c>
      <c r="B76" s="144"/>
      <c r="C76" s="144"/>
      <c r="D76" s="144"/>
    </row>
    <row r="77" spans="1:7" s="66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66" customFormat="1" ht="14.25" customHeight="1" thickBot="1">
      <c r="A78" s="14" t="s">
        <v>1</v>
      </c>
      <c r="B78" s="152" t="s">
        <v>71</v>
      </c>
      <c r="C78" s="142"/>
      <c r="D78" s="41">
        <f>D28*1.62%</f>
        <v>19.131552000000003</v>
      </c>
      <c r="G78" s="43">
        <f>D28+D63+D73</f>
        <v>2297.9665153280002</v>
      </c>
    </row>
    <row r="79" spans="1:7" s="66" customFormat="1" ht="14.25" customHeight="1" thickBot="1">
      <c r="A79" s="14" t="s">
        <v>3</v>
      </c>
      <c r="B79" s="152" t="s">
        <v>72</v>
      </c>
      <c r="C79" s="142"/>
      <c r="D79" s="41">
        <f>D28*0.28%</f>
        <v>3.3066880000000007</v>
      </c>
    </row>
    <row r="80" spans="1:7" s="66" customFormat="1" ht="14.25" customHeight="1" thickBot="1">
      <c r="A80" s="14" t="s">
        <v>5</v>
      </c>
      <c r="B80" s="152" t="s">
        <v>73</v>
      </c>
      <c r="C80" s="142"/>
      <c r="D80" s="41">
        <f>D28*0.08%</f>
        <v>0.94476800000000005</v>
      </c>
    </row>
    <row r="81" spans="1:4" s="66" customFormat="1" ht="14.25" customHeight="1" thickBot="1">
      <c r="A81" s="14" t="s">
        <v>7</v>
      </c>
      <c r="B81" s="141" t="s">
        <v>74</v>
      </c>
      <c r="C81" s="142"/>
      <c r="D81" s="41">
        <f>D28*0.27%</f>
        <v>3.1885920000000003</v>
      </c>
    </row>
    <row r="82" spans="1:4" s="66" customFormat="1" ht="14.25" customHeight="1" thickBot="1">
      <c r="A82" s="14" t="s">
        <v>26</v>
      </c>
      <c r="B82" s="177" t="s">
        <v>75</v>
      </c>
      <c r="C82" s="142"/>
      <c r="D82" s="41">
        <f>D28*0.03%</f>
        <v>0.35428799999999999</v>
      </c>
    </row>
    <row r="83" spans="1:4" s="66" customFormat="1" ht="14.25" customHeight="1" thickBot="1">
      <c r="A83" s="14" t="s">
        <v>46</v>
      </c>
      <c r="B83" s="178" t="s">
        <v>76</v>
      </c>
      <c r="C83" s="142"/>
      <c r="D83" s="41"/>
    </row>
    <row r="84" spans="1:4" s="66" customFormat="1" ht="14.25" customHeight="1" thickBot="1">
      <c r="A84" s="147" t="s">
        <v>51</v>
      </c>
      <c r="B84" s="150"/>
      <c r="C84" s="148"/>
      <c r="D84" s="41">
        <f>SUM(D78:D83)</f>
        <v>26.925888000000004</v>
      </c>
    </row>
    <row r="85" spans="1:4" s="66" customFormat="1" ht="14.25" customHeight="1">
      <c r="A85" s="67"/>
      <c r="B85" s="67"/>
      <c r="C85" s="67"/>
      <c r="D85" s="67"/>
    </row>
    <row r="86" spans="1:4" s="66" customFormat="1" ht="14.25" customHeight="1" thickBot="1">
      <c r="A86" s="151" t="s">
        <v>77</v>
      </c>
      <c r="B86" s="144"/>
      <c r="C86" s="144"/>
      <c r="D86" s="144"/>
    </row>
    <row r="87" spans="1:4" s="66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4" s="66" customFormat="1" ht="14.25" customHeight="1" thickBot="1">
      <c r="A88" s="14" t="s">
        <v>1</v>
      </c>
      <c r="B88" s="153" t="s">
        <v>80</v>
      </c>
      <c r="C88" s="142"/>
      <c r="D88" s="41">
        <v>0</v>
      </c>
    </row>
    <row r="89" spans="1:4" s="66" customFormat="1" ht="14.25" customHeight="1" thickBot="1">
      <c r="A89" s="147" t="s">
        <v>30</v>
      </c>
      <c r="B89" s="150"/>
      <c r="C89" s="148"/>
      <c r="D89" s="42">
        <f>D88</f>
        <v>0</v>
      </c>
    </row>
    <row r="90" spans="1:4" s="66" customFormat="1" ht="14.25" customHeight="1">
      <c r="A90" s="67"/>
      <c r="B90" s="67"/>
      <c r="C90" s="67"/>
      <c r="D90" s="67"/>
    </row>
    <row r="91" spans="1:4" s="66" customFormat="1" ht="14.25" customHeight="1" thickBot="1">
      <c r="A91" s="151" t="s">
        <v>81</v>
      </c>
      <c r="B91" s="144"/>
      <c r="C91" s="144"/>
      <c r="D91" s="144"/>
    </row>
    <row r="92" spans="1:4" s="66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4" s="66" customFormat="1" ht="14.25" customHeight="1" thickBot="1">
      <c r="A93" s="14" t="s">
        <v>69</v>
      </c>
      <c r="B93" s="141" t="s">
        <v>70</v>
      </c>
      <c r="C93" s="142"/>
      <c r="D93" s="41">
        <f>D84</f>
        <v>26.925888000000004</v>
      </c>
    </row>
    <row r="94" spans="1:4" s="66" customFormat="1" ht="14.25" customHeight="1" thickBot="1">
      <c r="A94" s="14" t="s">
        <v>78</v>
      </c>
      <c r="B94" s="153" t="s">
        <v>79</v>
      </c>
      <c r="C94" s="142"/>
      <c r="D94" s="41">
        <f>D89</f>
        <v>0</v>
      </c>
    </row>
    <row r="95" spans="1:4" s="66" customFormat="1" ht="14.25" customHeight="1" thickBot="1">
      <c r="A95" s="147" t="s">
        <v>30</v>
      </c>
      <c r="B95" s="150"/>
      <c r="C95" s="148"/>
      <c r="D95" s="41">
        <f>SUM(D93:D94)</f>
        <v>26.925888000000004</v>
      </c>
    </row>
    <row r="96" spans="1:4" s="66" customFormat="1" ht="14.25" customHeight="1">
      <c r="A96" s="67"/>
      <c r="B96" s="67"/>
      <c r="C96" s="67"/>
      <c r="D96" s="67"/>
    </row>
    <row r="97" spans="1:8" s="66" customFormat="1" ht="14.25" customHeight="1" thickBot="1">
      <c r="A97" s="143" t="s">
        <v>83</v>
      </c>
      <c r="B97" s="144"/>
      <c r="C97" s="144"/>
      <c r="D97" s="144"/>
    </row>
    <row r="98" spans="1:8" s="66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66" customFormat="1" ht="14.25" customHeight="1" thickBot="1">
      <c r="A99" s="14" t="s">
        <v>1</v>
      </c>
      <c r="B99" s="141" t="s">
        <v>85</v>
      </c>
      <c r="C99" s="142"/>
      <c r="D99" s="44">
        <f>ASG!D99</f>
        <v>0</v>
      </c>
    </row>
    <row r="100" spans="1:8" s="66" customFormat="1" ht="14.25" customHeight="1" thickBot="1">
      <c r="A100" s="14" t="s">
        <v>3</v>
      </c>
      <c r="B100" s="153" t="s">
        <v>86</v>
      </c>
      <c r="C100" s="142"/>
      <c r="D100" s="42" t="e">
        <f>MATERIAIS!#REF!</f>
        <v>#REF!</v>
      </c>
    </row>
    <row r="101" spans="1:8" s="66" customFormat="1" ht="14.25" customHeight="1" thickBot="1">
      <c r="A101" s="22" t="s">
        <v>5</v>
      </c>
      <c r="B101" s="170" t="s">
        <v>102</v>
      </c>
      <c r="C101" s="148"/>
      <c r="D101" s="42">
        <v>15</v>
      </c>
    </row>
    <row r="102" spans="1:8" s="66" customFormat="1" ht="14.25" customHeight="1" thickBot="1">
      <c r="A102" s="22" t="s">
        <v>7</v>
      </c>
      <c r="B102" s="167" t="s">
        <v>139</v>
      </c>
      <c r="C102" s="148"/>
      <c r="D102" s="42" t="e">
        <f>MATERIAIS!#REF!+MATERIAIS!#REF!</f>
        <v>#REF!</v>
      </c>
    </row>
    <row r="103" spans="1:8" s="66" customFormat="1" ht="14.25" customHeight="1" thickBot="1">
      <c r="A103" s="147" t="s">
        <v>51</v>
      </c>
      <c r="B103" s="150"/>
      <c r="C103" s="148"/>
      <c r="D103" s="42" t="e">
        <f>SUM(D99:D102)</f>
        <v>#REF!</v>
      </c>
    </row>
    <row r="104" spans="1:8" s="66" customFormat="1" ht="14.25" customHeight="1">
      <c r="A104" s="67"/>
      <c r="B104" s="67"/>
      <c r="C104" s="67"/>
      <c r="D104" s="67"/>
    </row>
    <row r="105" spans="1:8" s="66" customFormat="1" ht="14.25" customHeight="1" thickBot="1">
      <c r="A105" s="143" t="s">
        <v>88</v>
      </c>
      <c r="B105" s="144"/>
      <c r="C105" s="144"/>
      <c r="D105" s="144"/>
    </row>
    <row r="106" spans="1:8" s="66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66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 t="e">
        <f>ROUND((G107*C107),2)</f>
        <v>#REF!</v>
      </c>
      <c r="G107" s="43" t="e">
        <f>G78+D95+D103</f>
        <v>#REF!</v>
      </c>
    </row>
    <row r="108" spans="1:8" s="66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 t="e">
        <f>ROUND((H108*C108),2)</f>
        <v>#REF!</v>
      </c>
      <c r="H108" s="43" t="e">
        <f>G107+D107</f>
        <v>#REF!</v>
      </c>
    </row>
    <row r="109" spans="1:8" s="66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66" customFormat="1" ht="14.25" customHeight="1" thickBot="1">
      <c r="A110" s="14"/>
      <c r="B110" s="26" t="s">
        <v>94</v>
      </c>
      <c r="C110" s="27">
        <v>3.6499999999999998E-2</v>
      </c>
      <c r="D110" s="41" t="e">
        <f>ROUND((G118*C110),2)</f>
        <v>#REF!</v>
      </c>
    </row>
    <row r="111" spans="1:8" s="66" customFormat="1" ht="14.25" customHeight="1" thickBot="1">
      <c r="A111" s="14"/>
      <c r="B111" s="17" t="s">
        <v>126</v>
      </c>
      <c r="C111" s="27">
        <v>0</v>
      </c>
      <c r="D111" s="41" t="e">
        <f>G118*C111</f>
        <v>#REF!</v>
      </c>
    </row>
    <row r="112" spans="1:8" s="66" customFormat="1" ht="14.25" customHeight="1" thickBot="1">
      <c r="A112" s="14"/>
      <c r="B112" s="26" t="s">
        <v>95</v>
      </c>
      <c r="C112" s="28">
        <v>0.05</v>
      </c>
      <c r="D112" s="41" t="e">
        <f>ROUND((G118*C112),2)</f>
        <v>#REF!</v>
      </c>
    </row>
    <row r="113" spans="1:7" s="66" customFormat="1" ht="14.25" customHeight="1" thickBot="1">
      <c r="A113" s="147" t="s">
        <v>51</v>
      </c>
      <c r="B113" s="148"/>
      <c r="C113" s="29"/>
      <c r="D113" s="45" t="e">
        <f>SUM(D107:D108,D110:D112)</f>
        <v>#REF!</v>
      </c>
    </row>
    <row r="114" spans="1:7" s="66" customFormat="1" ht="14.25" customHeight="1">
      <c r="A114" s="67"/>
      <c r="B114" s="67"/>
      <c r="C114" s="67"/>
      <c r="D114" s="67"/>
    </row>
    <row r="115" spans="1:7" s="66" customFormat="1" ht="14.25" customHeight="1" thickBot="1">
      <c r="A115" s="143" t="s">
        <v>96</v>
      </c>
      <c r="B115" s="144"/>
      <c r="C115" s="144"/>
      <c r="D115" s="144"/>
    </row>
    <row r="116" spans="1:7" s="66" customFormat="1" ht="14.25" customHeight="1" thickBot="1">
      <c r="A116" s="12"/>
      <c r="B116" s="149" t="s">
        <v>97</v>
      </c>
      <c r="C116" s="148"/>
      <c r="D116" s="13" t="s">
        <v>21</v>
      </c>
      <c r="G116" s="43" t="e">
        <f>H108+D108</f>
        <v>#REF!</v>
      </c>
    </row>
    <row r="117" spans="1:7" s="66" customFormat="1" ht="14.25" customHeight="1" thickBot="1">
      <c r="A117" s="30" t="s">
        <v>1</v>
      </c>
      <c r="B117" s="141" t="s">
        <v>19</v>
      </c>
      <c r="C117" s="142"/>
      <c r="D117" s="42">
        <f>D28</f>
        <v>1180.96</v>
      </c>
      <c r="F117" s="66">
        <f>ASG!F121</f>
        <v>0.91349999999999998</v>
      </c>
    </row>
    <row r="118" spans="1:7" s="66" customFormat="1" ht="14.25" customHeight="1" thickBot="1">
      <c r="A118" s="30" t="s">
        <v>3</v>
      </c>
      <c r="B118" s="141" t="s">
        <v>31</v>
      </c>
      <c r="C118" s="142"/>
      <c r="D118" s="42">
        <f>D63</f>
        <v>1041.8332151040001</v>
      </c>
      <c r="G118" s="43" t="e">
        <f>ROUND((G116/F117),2)</f>
        <v>#REF!</v>
      </c>
    </row>
    <row r="119" spans="1:7" s="66" customFormat="1" ht="14.25" customHeight="1" thickBot="1">
      <c r="A119" s="30" t="s">
        <v>5</v>
      </c>
      <c r="B119" s="141" t="s">
        <v>59</v>
      </c>
      <c r="C119" s="142"/>
      <c r="D119" s="42">
        <f>D73</f>
        <v>75.173300224000002</v>
      </c>
    </row>
    <row r="120" spans="1:7" s="66" customFormat="1" ht="14.25" customHeight="1" thickBot="1">
      <c r="A120" s="30" t="s">
        <v>7</v>
      </c>
      <c r="B120" s="141" t="s">
        <v>67</v>
      </c>
      <c r="C120" s="142"/>
      <c r="D120" s="42">
        <f>D95</f>
        <v>26.925888000000004</v>
      </c>
    </row>
    <row r="121" spans="1:7" s="66" customFormat="1" ht="14.25" customHeight="1" thickBot="1">
      <c r="A121" s="30" t="s">
        <v>26</v>
      </c>
      <c r="B121" s="153" t="s">
        <v>83</v>
      </c>
      <c r="C121" s="142"/>
      <c r="D121" s="42" t="e">
        <f>D103</f>
        <v>#REF!</v>
      </c>
    </row>
    <row r="122" spans="1:7" s="66" customFormat="1" ht="14.25" customHeight="1" thickBot="1">
      <c r="A122" s="147" t="s">
        <v>98</v>
      </c>
      <c r="B122" s="150"/>
      <c r="C122" s="148"/>
      <c r="D122" s="42" t="e">
        <f>SUM(D117:D121)</f>
        <v>#REF!</v>
      </c>
    </row>
    <row r="123" spans="1:7" s="66" customFormat="1" ht="14.25" customHeight="1" thickBot="1">
      <c r="A123" s="12" t="s">
        <v>46</v>
      </c>
      <c r="B123" s="170" t="s">
        <v>99</v>
      </c>
      <c r="C123" s="148"/>
      <c r="D123" s="42" t="e">
        <f>D113</f>
        <v>#REF!</v>
      </c>
    </row>
    <row r="124" spans="1:7" s="66" customFormat="1" ht="14.25" customHeight="1" thickBot="1">
      <c r="A124" s="173" t="s">
        <v>100</v>
      </c>
      <c r="B124" s="150"/>
      <c r="C124" s="148"/>
      <c r="D124" s="45" t="e">
        <f>ROUND((SUM(D122:D123)),2)</f>
        <v>#REF!</v>
      </c>
      <c r="F124" s="43"/>
    </row>
    <row r="125" spans="1:7" s="66" customFormat="1" ht="15" customHeight="1">
      <c r="A125" s="37"/>
      <c r="B125" s="37"/>
      <c r="C125" s="37"/>
      <c r="D125" s="38"/>
    </row>
    <row r="126" spans="1:7" s="66" customFormat="1" ht="15" customHeight="1">
      <c r="A126" s="174"/>
      <c r="B126" s="175"/>
      <c r="C126" s="175"/>
      <c r="D126" s="175"/>
      <c r="E126" s="176"/>
    </row>
    <row r="127" spans="1:7" s="66" customFormat="1" ht="15" customHeight="1">
      <c r="A127" s="31"/>
      <c r="B127" s="31"/>
      <c r="C127" s="31"/>
      <c r="D127" s="31"/>
      <c r="E127" s="31"/>
    </row>
    <row r="128" spans="1:7" s="66" customFormat="1" ht="15" customHeight="1">
      <c r="A128" s="31"/>
      <c r="B128" s="31"/>
      <c r="C128" s="31"/>
      <c r="D128" s="31"/>
      <c r="E128" s="31"/>
    </row>
    <row r="129" spans="1:5" s="66" customFormat="1" ht="15" customHeight="1">
      <c r="A129" s="32"/>
      <c r="B129" s="31"/>
      <c r="C129" s="31"/>
      <c r="D129" s="31"/>
      <c r="E129" s="31"/>
    </row>
    <row r="130" spans="1:5" s="66" customFormat="1" ht="15" customHeight="1">
      <c r="A130" s="32"/>
      <c r="B130" s="31"/>
      <c r="C130" s="31"/>
      <c r="D130" s="31"/>
      <c r="E130" s="31"/>
    </row>
  </sheetData>
  <mergeCells count="95">
    <mergeCell ref="C7:D7"/>
    <mergeCell ref="A1:D1"/>
    <mergeCell ref="A3:D3"/>
    <mergeCell ref="C4:D4"/>
    <mergeCell ref="C5:D5"/>
    <mergeCell ref="C6:D6"/>
    <mergeCell ref="B22:C22"/>
    <mergeCell ref="A9:D9"/>
    <mergeCell ref="A10:B10"/>
    <mergeCell ref="A11:B11"/>
    <mergeCell ref="C13:D13"/>
    <mergeCell ref="C14:D14"/>
    <mergeCell ref="C15:D15"/>
    <mergeCell ref="C16:D16"/>
    <mergeCell ref="C17:D17"/>
    <mergeCell ref="A19:D19"/>
    <mergeCell ref="B20:C20"/>
    <mergeCell ref="B21:C21"/>
    <mergeCell ref="A35:C35"/>
    <mergeCell ref="B23:C23"/>
    <mergeCell ref="B24:C24"/>
    <mergeCell ref="B25:C25"/>
    <mergeCell ref="B26:C26"/>
    <mergeCell ref="B27:C27"/>
    <mergeCell ref="A28:C28"/>
    <mergeCell ref="A30:D30"/>
    <mergeCell ref="A31:D31"/>
    <mergeCell ref="B32:C32"/>
    <mergeCell ref="B33:C33"/>
    <mergeCell ref="B34:C34"/>
    <mergeCell ref="B59:C59"/>
    <mergeCell ref="A37:D37"/>
    <mergeCell ref="A47:B47"/>
    <mergeCell ref="A49:D49"/>
    <mergeCell ref="B50:C50"/>
    <mergeCell ref="B51:C51"/>
    <mergeCell ref="B52:C52"/>
    <mergeCell ref="B53:C53"/>
    <mergeCell ref="B54:C54"/>
    <mergeCell ref="B55:C55"/>
    <mergeCell ref="A56:C56"/>
    <mergeCell ref="A58:D58"/>
    <mergeCell ref="B72:C72"/>
    <mergeCell ref="B60:C60"/>
    <mergeCell ref="B61:C61"/>
    <mergeCell ref="B62:C62"/>
    <mergeCell ref="A63:C63"/>
    <mergeCell ref="A65:D65"/>
    <mergeCell ref="B66:C66"/>
    <mergeCell ref="B67:C67"/>
    <mergeCell ref="B68:C68"/>
    <mergeCell ref="B69:C69"/>
    <mergeCell ref="B70:C70"/>
    <mergeCell ref="B71:C71"/>
    <mergeCell ref="A86:D86"/>
    <mergeCell ref="A73:C73"/>
    <mergeCell ref="A75:D75"/>
    <mergeCell ref="A76:D76"/>
    <mergeCell ref="B77:C77"/>
    <mergeCell ref="B78:C78"/>
    <mergeCell ref="B79:C79"/>
    <mergeCell ref="B80:C80"/>
    <mergeCell ref="B81:C81"/>
    <mergeCell ref="B82:C82"/>
    <mergeCell ref="B83:C83"/>
    <mergeCell ref="A84:C84"/>
    <mergeCell ref="B100:C100"/>
    <mergeCell ref="B87:C87"/>
    <mergeCell ref="B88:C88"/>
    <mergeCell ref="A89:C89"/>
    <mergeCell ref="A91:D91"/>
    <mergeCell ref="B92:C92"/>
    <mergeCell ref="B93:C93"/>
    <mergeCell ref="B94:C94"/>
    <mergeCell ref="A95:C95"/>
    <mergeCell ref="A97:D97"/>
    <mergeCell ref="B98:C98"/>
    <mergeCell ref="B99:C99"/>
    <mergeCell ref="B120:C120"/>
    <mergeCell ref="B101:C101"/>
    <mergeCell ref="B102:C102"/>
    <mergeCell ref="A103:C103"/>
    <mergeCell ref="A105:D105"/>
    <mergeCell ref="B109:D109"/>
    <mergeCell ref="A113:B113"/>
    <mergeCell ref="A115:D115"/>
    <mergeCell ref="B116:C116"/>
    <mergeCell ref="B117:C117"/>
    <mergeCell ref="B118:C118"/>
    <mergeCell ref="B119:C119"/>
    <mergeCell ref="B121:C121"/>
    <mergeCell ref="A122:C122"/>
    <mergeCell ref="B123:C123"/>
    <mergeCell ref="A124:C124"/>
    <mergeCell ref="A126:E126"/>
  </mergeCells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4"/>
  <sheetViews>
    <sheetView topLeftCell="A115" workbookViewId="0">
      <selection activeCell="J124" sqref="J124"/>
    </sheetView>
  </sheetViews>
  <sheetFormatPr defaultRowHeight="14.25"/>
  <cols>
    <col min="1" max="1" width="12.25" customWidth="1"/>
    <col min="2" max="2" width="32.875" customWidth="1"/>
    <col min="4" max="4" width="25.75" customWidth="1"/>
    <col min="6" max="6" width="13.875" customWidth="1"/>
    <col min="10" max="10" width="12.125" customWidth="1"/>
  </cols>
  <sheetData>
    <row r="1" spans="1:4" s="68" customFormat="1" ht="14.25" customHeight="1">
      <c r="A1" s="156"/>
      <c r="B1" s="157"/>
      <c r="C1" s="157"/>
      <c r="D1" s="157"/>
    </row>
    <row r="2" spans="1:4" s="68" customFormat="1" ht="14.25" customHeight="1">
      <c r="A2" s="67"/>
      <c r="B2" s="67"/>
      <c r="C2" s="67"/>
      <c r="D2" s="67"/>
    </row>
    <row r="3" spans="1:4" s="68" customFormat="1" ht="14.25" customHeight="1" thickBot="1">
      <c r="A3" s="143" t="s">
        <v>0</v>
      </c>
      <c r="B3" s="144"/>
      <c r="C3" s="144"/>
      <c r="D3" s="144"/>
    </row>
    <row r="4" spans="1:4" s="68" customFormat="1" ht="14.25" customHeight="1" thickBot="1">
      <c r="A4" s="9" t="s">
        <v>1</v>
      </c>
      <c r="B4" s="10" t="s">
        <v>2</v>
      </c>
      <c r="C4" s="158">
        <f>ASG!C4</f>
        <v>44692</v>
      </c>
      <c r="D4" s="163"/>
    </row>
    <row r="5" spans="1:4" s="68" customFormat="1" ht="14.25" customHeight="1" thickBot="1">
      <c r="A5" s="9" t="s">
        <v>3</v>
      </c>
      <c r="B5" s="10" t="s">
        <v>4</v>
      </c>
      <c r="C5" s="158" t="str">
        <f>RECEPCIONISTA!C5</f>
        <v>Recife / PE</v>
      </c>
      <c r="D5" s="163"/>
    </row>
    <row r="6" spans="1:4" s="68" customFormat="1" ht="14.25" customHeight="1" thickBot="1">
      <c r="A6" s="9" t="s">
        <v>5</v>
      </c>
      <c r="B6" s="10" t="s">
        <v>6</v>
      </c>
      <c r="C6" s="154" t="str">
        <f>RECEPCIONISTA!C6</f>
        <v>PE000089/2022</v>
      </c>
      <c r="D6" s="148"/>
    </row>
    <row r="7" spans="1:4" s="68" customFormat="1" ht="14.25" customHeight="1" thickBot="1">
      <c r="A7" s="9" t="s">
        <v>7</v>
      </c>
      <c r="B7" s="10" t="s">
        <v>8</v>
      </c>
      <c r="C7" s="154">
        <v>6</v>
      </c>
      <c r="D7" s="148"/>
    </row>
    <row r="8" spans="1:4" s="68" customFormat="1" ht="14.25" customHeight="1">
      <c r="A8" s="67"/>
      <c r="B8" s="67"/>
      <c r="C8" s="67"/>
      <c r="D8" s="67"/>
    </row>
    <row r="9" spans="1:4" s="68" customFormat="1" ht="14.25" customHeight="1" thickBot="1">
      <c r="A9" s="143" t="s">
        <v>9</v>
      </c>
      <c r="B9" s="144"/>
      <c r="C9" s="144"/>
      <c r="D9" s="144"/>
    </row>
    <row r="10" spans="1:4" s="68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s="68" customFormat="1" ht="14.25" customHeight="1" thickBot="1">
      <c r="A11" s="154" t="s">
        <v>134</v>
      </c>
      <c r="B11" s="148"/>
      <c r="C11" s="9" t="s">
        <v>141</v>
      </c>
      <c r="D11" s="9">
        <v>1</v>
      </c>
    </row>
    <row r="12" spans="1:4" s="68" customFormat="1" ht="14.25" customHeight="1" thickBot="1">
      <c r="A12" s="67"/>
      <c r="B12" s="67"/>
      <c r="C12" s="67"/>
      <c r="D12" s="67"/>
    </row>
    <row r="13" spans="1:4" s="68" customFormat="1" ht="14.25" customHeight="1" thickBot="1">
      <c r="A13" s="9">
        <v>1</v>
      </c>
      <c r="B13" s="10" t="s">
        <v>14</v>
      </c>
      <c r="C13" s="154" t="str">
        <f>A11</f>
        <v>Portaria 24 horas</v>
      </c>
      <c r="D13" s="148"/>
    </row>
    <row r="14" spans="1:4" s="68" customFormat="1" ht="14.25" customHeight="1" thickBot="1">
      <c r="A14" s="9">
        <v>2</v>
      </c>
      <c r="B14" s="10" t="s">
        <v>15</v>
      </c>
      <c r="C14" s="154" t="s">
        <v>129</v>
      </c>
      <c r="D14" s="148"/>
    </row>
    <row r="15" spans="1:4" s="68" customFormat="1" ht="14.25" customHeight="1" thickBot="1">
      <c r="A15" s="9">
        <v>3</v>
      </c>
      <c r="B15" s="10" t="s">
        <v>16</v>
      </c>
      <c r="C15" s="160">
        <f>RECEPCIONISTA!C15</f>
        <v>1326.25</v>
      </c>
      <c r="D15" s="161"/>
    </row>
    <row r="16" spans="1:4" s="68" customFormat="1" ht="14.25" customHeight="1" thickBot="1">
      <c r="A16" s="9">
        <v>4</v>
      </c>
      <c r="B16" s="10" t="s">
        <v>17</v>
      </c>
      <c r="C16" s="154" t="s">
        <v>128</v>
      </c>
      <c r="D16" s="148"/>
    </row>
    <row r="17" spans="1:10" s="68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10" s="68" customFormat="1" ht="14.25" customHeight="1">
      <c r="A18" s="67"/>
      <c r="B18" s="67"/>
      <c r="C18" s="67"/>
      <c r="D18" s="67"/>
    </row>
    <row r="19" spans="1:10" s="68" customFormat="1" ht="14.25" customHeight="1" thickBot="1">
      <c r="A19" s="143" t="s">
        <v>19</v>
      </c>
      <c r="B19" s="144"/>
      <c r="C19" s="144"/>
      <c r="D19" s="144"/>
    </row>
    <row r="20" spans="1:10" s="68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10" s="68" customFormat="1" ht="14.25" customHeight="1" thickBot="1">
      <c r="A21" s="14" t="s">
        <v>1</v>
      </c>
      <c r="B21" s="141" t="s">
        <v>130</v>
      </c>
      <c r="C21" s="142"/>
      <c r="D21" s="41">
        <f>C15</f>
        <v>1326.25</v>
      </c>
      <c r="F21" s="46">
        <f>D21</f>
        <v>1326.25</v>
      </c>
    </row>
    <row r="22" spans="1:10" s="68" customFormat="1" ht="14.25" customHeight="1" thickBot="1">
      <c r="A22" s="14" t="s">
        <v>3</v>
      </c>
      <c r="B22" s="141" t="s">
        <v>23</v>
      </c>
      <c r="C22" s="142"/>
      <c r="D22" s="41"/>
    </row>
    <row r="23" spans="1:10" s="68" customFormat="1" ht="14.25" customHeight="1" thickBot="1">
      <c r="A23" s="14" t="s">
        <v>5</v>
      </c>
      <c r="B23" s="141" t="s">
        <v>24</v>
      </c>
      <c r="C23" s="142"/>
      <c r="D23" s="41"/>
    </row>
    <row r="24" spans="1:10" s="68" customFormat="1" ht="14.25" customHeight="1" thickBot="1">
      <c r="A24" s="14" t="s">
        <v>7</v>
      </c>
      <c r="B24" s="141" t="s">
        <v>25</v>
      </c>
      <c r="C24" s="142"/>
      <c r="D24" s="41">
        <v>0</v>
      </c>
      <c r="H24" s="60">
        <f>C15/220</f>
        <v>6.0284090909090908</v>
      </c>
      <c r="I24" s="60">
        <f>H24*20%</f>
        <v>1.2056818181818183</v>
      </c>
    </row>
    <row r="25" spans="1:10" s="68" customFormat="1" ht="14.25" customHeight="1" thickBot="1">
      <c r="A25" s="14" t="s">
        <v>26</v>
      </c>
      <c r="B25" s="141" t="s">
        <v>27</v>
      </c>
      <c r="C25" s="142"/>
      <c r="D25" s="41">
        <v>0</v>
      </c>
      <c r="H25" s="60"/>
      <c r="I25" s="60">
        <f>H24*50%</f>
        <v>3.0142045454545454</v>
      </c>
      <c r="J25" s="46">
        <f>H24+I25</f>
        <v>9.0426136363636367</v>
      </c>
    </row>
    <row r="26" spans="1:10" s="68" customFormat="1" ht="14.25" customHeight="1" thickBot="1">
      <c r="A26" s="14" t="s">
        <v>46</v>
      </c>
      <c r="B26" s="141"/>
      <c r="C26" s="142"/>
      <c r="D26" s="41"/>
      <c r="F26" s="60"/>
      <c r="G26" s="60"/>
    </row>
    <row r="27" spans="1:10" s="68" customFormat="1" ht="14.25" customHeight="1" thickBot="1">
      <c r="A27" s="14" t="s">
        <v>28</v>
      </c>
      <c r="B27" s="153" t="s">
        <v>131</v>
      </c>
      <c r="C27" s="142"/>
      <c r="D27" s="41">
        <f>(D24+D25)/25*5</f>
        <v>0</v>
      </c>
      <c r="F27" s="60"/>
      <c r="G27" s="60"/>
    </row>
    <row r="28" spans="1:10" s="68" customFormat="1" ht="14.25" customHeight="1" thickBot="1">
      <c r="A28" s="147" t="s">
        <v>30</v>
      </c>
      <c r="B28" s="150"/>
      <c r="C28" s="148"/>
      <c r="D28" s="42">
        <f>SUM(D21:D27)</f>
        <v>1326.25</v>
      </c>
    </row>
    <row r="29" spans="1:10" s="68" customFormat="1" ht="14.25" customHeight="1">
      <c r="A29" s="67"/>
      <c r="B29" s="67"/>
      <c r="C29" s="67"/>
      <c r="D29" s="67"/>
    </row>
    <row r="30" spans="1:10" s="68" customFormat="1" ht="14.25" customHeight="1">
      <c r="A30" s="143" t="s">
        <v>31</v>
      </c>
      <c r="B30" s="144"/>
      <c r="C30" s="144"/>
      <c r="D30" s="144"/>
    </row>
    <row r="31" spans="1:10" s="68" customFormat="1" ht="14.25" customHeight="1" thickBot="1">
      <c r="A31" s="151" t="s">
        <v>32</v>
      </c>
      <c r="B31" s="144"/>
      <c r="C31" s="144"/>
      <c r="D31" s="144"/>
    </row>
    <row r="32" spans="1:10" s="68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68" customFormat="1" ht="14.25" customHeight="1" thickBot="1">
      <c r="A33" s="14" t="s">
        <v>1</v>
      </c>
      <c r="B33" s="141" t="s">
        <v>35</v>
      </c>
      <c r="C33" s="142"/>
      <c r="D33" s="42">
        <f>D28*8.33%</f>
        <v>110.476625</v>
      </c>
    </row>
    <row r="34" spans="1:7" s="68" customFormat="1" ht="14.25" customHeight="1" thickBot="1">
      <c r="A34" s="14" t="s">
        <v>3</v>
      </c>
      <c r="B34" s="153" t="s">
        <v>36</v>
      </c>
      <c r="C34" s="142"/>
      <c r="D34" s="42">
        <f>D28*12.1%</f>
        <v>160.47624999999999</v>
      </c>
    </row>
    <row r="35" spans="1:7" s="68" customFormat="1" ht="14.25" customHeight="1" thickBot="1">
      <c r="A35" s="147" t="s">
        <v>30</v>
      </c>
      <c r="B35" s="150"/>
      <c r="C35" s="148"/>
      <c r="D35" s="42">
        <f>SUM(D33:D34)</f>
        <v>270.95287500000001</v>
      </c>
    </row>
    <row r="36" spans="1:7" s="68" customFormat="1" ht="14.25" customHeight="1">
      <c r="A36" s="67"/>
      <c r="B36" s="67"/>
      <c r="C36" s="67"/>
      <c r="D36" s="67"/>
    </row>
    <row r="37" spans="1:7" s="68" customFormat="1" ht="32.25" customHeight="1" thickBot="1">
      <c r="A37" s="171" t="s">
        <v>37</v>
      </c>
      <c r="B37" s="144"/>
      <c r="C37" s="144"/>
      <c r="D37" s="144"/>
    </row>
    <row r="38" spans="1:7" s="68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68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319.44057500000002</v>
      </c>
      <c r="G39" s="46">
        <f>D35+D28</f>
        <v>1597.2028749999999</v>
      </c>
    </row>
    <row r="40" spans="1:7" s="68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39.930071875000003</v>
      </c>
    </row>
    <row r="41" spans="1:7" s="68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47.916086249999999</v>
      </c>
    </row>
    <row r="42" spans="1:7" s="68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23.958043125</v>
      </c>
    </row>
    <row r="43" spans="1:7" s="68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15.97202875</v>
      </c>
    </row>
    <row r="44" spans="1:7" s="68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9.5832172500000006</v>
      </c>
    </row>
    <row r="45" spans="1:7" s="68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3.19440575</v>
      </c>
    </row>
    <row r="46" spans="1:7" s="68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127.77623</v>
      </c>
    </row>
    <row r="47" spans="1:7" s="68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587.77065800000003</v>
      </c>
    </row>
    <row r="48" spans="1:7" s="68" customFormat="1" ht="14.25" customHeight="1">
      <c r="A48" s="67"/>
      <c r="B48" s="67"/>
      <c r="C48" s="67"/>
      <c r="D48" s="67"/>
    </row>
    <row r="49" spans="1:4" s="68" customFormat="1" ht="14.25" customHeight="1" thickBot="1">
      <c r="A49" s="172" t="s">
        <v>52</v>
      </c>
      <c r="B49" s="144"/>
      <c r="C49" s="144"/>
      <c r="D49" s="144"/>
    </row>
    <row r="50" spans="1:4" s="68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68" customFormat="1" ht="14.25" customHeight="1" thickBot="1">
      <c r="A51" s="14" t="s">
        <v>1</v>
      </c>
      <c r="B51" s="165" t="s">
        <v>55</v>
      </c>
      <c r="C51" s="148"/>
      <c r="D51" s="41">
        <f>(ASG!H52*2*15.22)-(D21*6%)</f>
        <v>68.058999999999983</v>
      </c>
    </row>
    <row r="52" spans="1:4" s="68" customFormat="1" ht="14.25" customHeight="1" thickBot="1">
      <c r="A52" s="14" t="s">
        <v>3</v>
      </c>
      <c r="B52" s="165" t="s">
        <v>56</v>
      </c>
      <c r="C52" s="148"/>
      <c r="D52" s="44">
        <f>(7.65*15.22)*80%</f>
        <v>93.146400000000014</v>
      </c>
    </row>
    <row r="53" spans="1:4" s="68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68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68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</f>
        <v>0</v>
      </c>
    </row>
    <row r="56" spans="1:4" s="68" customFormat="1" ht="14.25" customHeight="1" thickBot="1">
      <c r="A56" s="147" t="s">
        <v>30</v>
      </c>
      <c r="B56" s="150"/>
      <c r="C56" s="148"/>
      <c r="D56" s="41">
        <f>SUM(D51:D55)</f>
        <v>161.2054</v>
      </c>
    </row>
    <row r="57" spans="1:4" s="68" customFormat="1" ht="14.25" customHeight="1">
      <c r="A57" s="67"/>
      <c r="B57" s="67"/>
      <c r="C57" s="67"/>
      <c r="D57" s="67"/>
    </row>
    <row r="58" spans="1:4" s="68" customFormat="1" ht="14.25" customHeight="1" thickBot="1">
      <c r="A58" s="151" t="s">
        <v>57</v>
      </c>
      <c r="B58" s="144"/>
      <c r="C58" s="144"/>
      <c r="D58" s="144"/>
    </row>
    <row r="59" spans="1:4" s="68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4" s="68" customFormat="1" ht="14.25" customHeight="1" thickBot="1">
      <c r="A60" s="14" t="s">
        <v>33</v>
      </c>
      <c r="B60" s="165" t="s">
        <v>34</v>
      </c>
      <c r="C60" s="148"/>
      <c r="D60" s="41">
        <f>D35</f>
        <v>270.95287500000001</v>
      </c>
    </row>
    <row r="61" spans="1:4" s="68" customFormat="1" ht="14.25" customHeight="1" thickBot="1">
      <c r="A61" s="14" t="s">
        <v>38</v>
      </c>
      <c r="B61" s="165" t="s">
        <v>39</v>
      </c>
      <c r="C61" s="148"/>
      <c r="D61" s="41">
        <f>D47</f>
        <v>587.77065800000003</v>
      </c>
    </row>
    <row r="62" spans="1:4" s="68" customFormat="1" ht="14.25" customHeight="1" thickBot="1">
      <c r="A62" s="22" t="s">
        <v>53</v>
      </c>
      <c r="B62" s="170" t="s">
        <v>54</v>
      </c>
      <c r="C62" s="148"/>
      <c r="D62" s="41">
        <f>D56</f>
        <v>161.2054</v>
      </c>
    </row>
    <row r="63" spans="1:4" s="68" customFormat="1" ht="14.25" customHeight="1" thickBot="1">
      <c r="A63" s="147" t="s">
        <v>30</v>
      </c>
      <c r="B63" s="150"/>
      <c r="C63" s="148"/>
      <c r="D63" s="41">
        <f>SUM(D60:D62)</f>
        <v>1019.9289330000001</v>
      </c>
    </row>
    <row r="64" spans="1:4" s="68" customFormat="1" ht="14.25" customHeight="1">
      <c r="A64" s="6"/>
      <c r="B64" s="67"/>
      <c r="C64" s="67"/>
      <c r="D64" s="67"/>
    </row>
    <row r="65" spans="1:7" s="68" customFormat="1" ht="14.25" customHeight="1" thickBot="1">
      <c r="A65" s="143" t="s">
        <v>59</v>
      </c>
      <c r="B65" s="144"/>
      <c r="C65" s="144"/>
      <c r="D65" s="144"/>
    </row>
    <row r="66" spans="1:7" s="68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68" customFormat="1" ht="14.25" customHeight="1" thickBot="1">
      <c r="A67" s="14" t="s">
        <v>1</v>
      </c>
      <c r="B67" s="141" t="s">
        <v>61</v>
      </c>
      <c r="C67" s="142"/>
      <c r="D67" s="41">
        <f>$D$28*0.46%</f>
        <v>6.1007499999999997</v>
      </c>
    </row>
    <row r="68" spans="1:7" s="68" customFormat="1" ht="14.25" customHeight="1" thickBot="1">
      <c r="A68" s="14" t="s">
        <v>3</v>
      </c>
      <c r="B68" s="141" t="s">
        <v>62</v>
      </c>
      <c r="C68" s="142"/>
      <c r="D68" s="41">
        <f>D67*C46</f>
        <v>0.48805999999999999</v>
      </c>
    </row>
    <row r="69" spans="1:7" s="68" customFormat="1" ht="14.25" customHeight="1" thickBot="1">
      <c r="A69" s="14" t="s">
        <v>5</v>
      </c>
      <c r="B69" s="152" t="s">
        <v>63</v>
      </c>
      <c r="C69" s="142"/>
      <c r="D69" s="41">
        <f>D67*8%*40%</f>
        <v>0.19522400000000001</v>
      </c>
    </row>
    <row r="70" spans="1:7" s="68" customFormat="1" ht="14.25" customHeight="1" thickBot="1">
      <c r="A70" s="14" t="s">
        <v>7</v>
      </c>
      <c r="B70" s="141" t="s">
        <v>64</v>
      </c>
      <c r="C70" s="142"/>
      <c r="D70" s="41">
        <f>$D$28*1.94%</f>
        <v>25.72925</v>
      </c>
    </row>
    <row r="71" spans="1:7" s="68" customFormat="1" ht="14.25" customHeight="1" thickBot="1">
      <c r="A71" s="23" t="s">
        <v>26</v>
      </c>
      <c r="B71" s="168" t="s">
        <v>65</v>
      </c>
      <c r="C71" s="169"/>
      <c r="D71" s="41">
        <f>D70*C47</f>
        <v>9.4683640000000011</v>
      </c>
    </row>
    <row r="72" spans="1:7" s="68" customFormat="1" ht="14.25" customHeight="1" thickBot="1">
      <c r="A72" s="22" t="s">
        <v>46</v>
      </c>
      <c r="B72" s="167" t="s">
        <v>66</v>
      </c>
      <c r="C72" s="148"/>
      <c r="D72" s="41">
        <f>$D$28*3.2%</f>
        <v>42.44</v>
      </c>
    </row>
    <row r="73" spans="1:7" s="68" customFormat="1" ht="14.25" customHeight="1" thickBot="1">
      <c r="A73" s="147" t="s">
        <v>30</v>
      </c>
      <c r="B73" s="150"/>
      <c r="C73" s="148"/>
      <c r="D73" s="42">
        <f>SUM(D67:D72)</f>
        <v>84.421648000000005</v>
      </c>
    </row>
    <row r="74" spans="1:7" s="68" customFormat="1" ht="14.25" customHeight="1">
      <c r="A74" s="67"/>
      <c r="B74" s="67"/>
      <c r="C74" s="67"/>
      <c r="D74" s="67"/>
    </row>
    <row r="75" spans="1:7" s="68" customFormat="1" ht="14.25" customHeight="1">
      <c r="A75" s="143" t="s">
        <v>67</v>
      </c>
      <c r="B75" s="144"/>
      <c r="C75" s="144"/>
      <c r="D75" s="144"/>
    </row>
    <row r="76" spans="1:7" s="68" customFormat="1" ht="14.25" customHeight="1" thickBot="1">
      <c r="A76" s="151" t="s">
        <v>68</v>
      </c>
      <c r="B76" s="144"/>
      <c r="C76" s="144"/>
      <c r="D76" s="144"/>
    </row>
    <row r="77" spans="1:7" s="68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68" customFormat="1" ht="14.25" customHeight="1" thickBot="1">
      <c r="A78" s="14" t="s">
        <v>1</v>
      </c>
      <c r="B78" s="152" t="s">
        <v>71</v>
      </c>
      <c r="C78" s="142"/>
      <c r="D78" s="41">
        <f>D28*1.62%</f>
        <v>21.485250000000004</v>
      </c>
      <c r="G78" s="43">
        <f>D28+D63+D73</f>
        <v>2430.6005810000001</v>
      </c>
    </row>
    <row r="79" spans="1:7" s="68" customFormat="1" ht="14.25" customHeight="1" thickBot="1">
      <c r="A79" s="14" t="s">
        <v>3</v>
      </c>
      <c r="B79" s="152" t="s">
        <v>72</v>
      </c>
      <c r="C79" s="142"/>
      <c r="D79" s="41">
        <f>D28*0.28%</f>
        <v>3.7135000000000007</v>
      </c>
    </row>
    <row r="80" spans="1:7" s="68" customFormat="1" ht="14.25" customHeight="1" thickBot="1">
      <c r="A80" s="14" t="s">
        <v>5</v>
      </c>
      <c r="B80" s="152" t="s">
        <v>73</v>
      </c>
      <c r="C80" s="142"/>
      <c r="D80" s="41">
        <f>D28*0.08%</f>
        <v>1.0609999999999999</v>
      </c>
    </row>
    <row r="81" spans="1:4" s="68" customFormat="1" ht="14.25" customHeight="1" thickBot="1">
      <c r="A81" s="14" t="s">
        <v>7</v>
      </c>
      <c r="B81" s="141" t="s">
        <v>74</v>
      </c>
      <c r="C81" s="142"/>
      <c r="D81" s="41">
        <f>D28*0.27%</f>
        <v>3.5808750000000003</v>
      </c>
    </row>
    <row r="82" spans="1:4" s="68" customFormat="1" ht="14.25" customHeight="1" thickBot="1">
      <c r="A82" s="14" t="s">
        <v>26</v>
      </c>
      <c r="B82" s="177" t="s">
        <v>75</v>
      </c>
      <c r="C82" s="142"/>
      <c r="D82" s="41">
        <f>D28*0.03%</f>
        <v>0.39787499999999998</v>
      </c>
    </row>
    <row r="83" spans="1:4" s="68" customFormat="1" ht="14.25" customHeight="1" thickBot="1">
      <c r="A83" s="14" t="s">
        <v>46</v>
      </c>
      <c r="B83" s="178" t="s">
        <v>76</v>
      </c>
      <c r="C83" s="142"/>
      <c r="D83" s="41"/>
    </row>
    <row r="84" spans="1:4" s="68" customFormat="1" ht="14.25" customHeight="1" thickBot="1">
      <c r="A84" s="147" t="s">
        <v>51</v>
      </c>
      <c r="B84" s="150"/>
      <c r="C84" s="148"/>
      <c r="D84" s="41">
        <f>SUM(D78:D83)</f>
        <v>30.238500000000002</v>
      </c>
    </row>
    <row r="85" spans="1:4" s="68" customFormat="1" ht="14.25" customHeight="1">
      <c r="A85" s="67"/>
      <c r="B85" s="67"/>
      <c r="C85" s="67"/>
      <c r="D85" s="67"/>
    </row>
    <row r="86" spans="1:4" s="68" customFormat="1" ht="14.25" customHeight="1" thickBot="1">
      <c r="A86" s="151" t="s">
        <v>77</v>
      </c>
      <c r="B86" s="144"/>
      <c r="C86" s="144"/>
      <c r="D86" s="144"/>
    </row>
    <row r="87" spans="1:4" s="68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4" s="68" customFormat="1" ht="14.25" customHeight="1" thickBot="1">
      <c r="A88" s="14" t="s">
        <v>1</v>
      </c>
      <c r="B88" s="153" t="s">
        <v>80</v>
      </c>
      <c r="C88" s="142"/>
      <c r="D88" s="41">
        <f>H24*2*30.44</f>
        <v>367.00954545454545</v>
      </c>
    </row>
    <row r="89" spans="1:4" s="68" customFormat="1" ht="14.25" customHeight="1" thickBot="1">
      <c r="A89" s="147" t="s">
        <v>30</v>
      </c>
      <c r="B89" s="150"/>
      <c r="C89" s="148"/>
      <c r="D89" s="42">
        <f>D88</f>
        <v>367.00954545454545</v>
      </c>
    </row>
    <row r="90" spans="1:4" s="68" customFormat="1" ht="14.25" customHeight="1">
      <c r="A90" s="67"/>
      <c r="B90" s="67"/>
      <c r="C90" s="67"/>
      <c r="D90" s="67"/>
    </row>
    <row r="91" spans="1:4" s="68" customFormat="1" ht="14.25" customHeight="1" thickBot="1">
      <c r="A91" s="151" t="s">
        <v>81</v>
      </c>
      <c r="B91" s="144"/>
      <c r="C91" s="144"/>
      <c r="D91" s="144"/>
    </row>
    <row r="92" spans="1:4" s="68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4" s="68" customFormat="1" ht="14.25" customHeight="1" thickBot="1">
      <c r="A93" s="14" t="s">
        <v>69</v>
      </c>
      <c r="B93" s="141" t="s">
        <v>70</v>
      </c>
      <c r="C93" s="142"/>
      <c r="D93" s="41">
        <f>D84</f>
        <v>30.238500000000002</v>
      </c>
    </row>
    <row r="94" spans="1:4" s="68" customFormat="1" ht="14.25" customHeight="1" thickBot="1">
      <c r="A94" s="14" t="s">
        <v>78</v>
      </c>
      <c r="B94" s="153" t="s">
        <v>79</v>
      </c>
      <c r="C94" s="142"/>
      <c r="D94" s="41">
        <f>D89</f>
        <v>367.00954545454545</v>
      </c>
    </row>
    <row r="95" spans="1:4" s="68" customFormat="1" ht="14.25" customHeight="1" thickBot="1">
      <c r="A95" s="147" t="s">
        <v>30</v>
      </c>
      <c r="B95" s="150"/>
      <c r="C95" s="148"/>
      <c r="D95" s="41">
        <f>SUM(D93:D94)</f>
        <v>397.24804545454543</v>
      </c>
    </row>
    <row r="96" spans="1:4" s="68" customFormat="1" ht="14.25" customHeight="1">
      <c r="A96" s="67"/>
      <c r="B96" s="67"/>
      <c r="C96" s="67"/>
      <c r="D96" s="67"/>
    </row>
    <row r="97" spans="1:8" s="68" customFormat="1" ht="14.25" customHeight="1" thickBot="1">
      <c r="A97" s="143" t="s">
        <v>83</v>
      </c>
      <c r="B97" s="144"/>
      <c r="C97" s="144"/>
      <c r="D97" s="144"/>
    </row>
    <row r="98" spans="1:8" s="68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68" customFormat="1" ht="14.25" customHeight="1" thickBot="1">
      <c r="A99" s="14" t="s">
        <v>1</v>
      </c>
      <c r="B99" s="141" t="s">
        <v>85</v>
      </c>
      <c r="C99" s="142"/>
      <c r="D99" s="44">
        <f>(ASG!D99+12)</f>
        <v>12</v>
      </c>
    </row>
    <row r="100" spans="1:8" s="68" customFormat="1" ht="14.25" customHeight="1" thickBot="1">
      <c r="A100" s="14" t="s">
        <v>3</v>
      </c>
      <c r="B100" s="153" t="s">
        <v>86</v>
      </c>
      <c r="C100" s="142"/>
      <c r="D100" s="42">
        <v>0</v>
      </c>
    </row>
    <row r="101" spans="1:8" s="68" customFormat="1" ht="14.25" customHeight="1" thickBot="1">
      <c r="A101" s="22" t="s">
        <v>5</v>
      </c>
      <c r="B101" s="170" t="s">
        <v>102</v>
      </c>
      <c r="C101" s="148"/>
      <c r="D101" s="42">
        <f>ASG!D101</f>
        <v>0</v>
      </c>
    </row>
    <row r="102" spans="1:8" s="68" customFormat="1" ht="14.25" customHeight="1" thickBot="1">
      <c r="A102" s="22" t="s">
        <v>7</v>
      </c>
      <c r="B102" s="167" t="s">
        <v>87</v>
      </c>
      <c r="C102" s="148"/>
      <c r="D102" s="42"/>
    </row>
    <row r="103" spans="1:8" s="68" customFormat="1" ht="14.25" customHeight="1" thickBot="1">
      <c r="A103" s="147" t="s">
        <v>51</v>
      </c>
      <c r="B103" s="150"/>
      <c r="C103" s="148"/>
      <c r="D103" s="42">
        <f>SUM(D99:D102)</f>
        <v>12</v>
      </c>
    </row>
    <row r="104" spans="1:8" s="68" customFormat="1" ht="14.25" customHeight="1">
      <c r="A104" s="67"/>
      <c r="B104" s="67"/>
      <c r="C104" s="67"/>
      <c r="D104" s="67"/>
    </row>
    <row r="105" spans="1:8" s="68" customFormat="1" ht="14.25" customHeight="1" thickBot="1">
      <c r="A105" s="143" t="s">
        <v>88</v>
      </c>
      <c r="B105" s="144"/>
      <c r="C105" s="144"/>
      <c r="D105" s="144"/>
    </row>
    <row r="106" spans="1:8" s="68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68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>
        <f>ROUND((G107*C107),2)</f>
        <v>85.2</v>
      </c>
      <c r="G107" s="43">
        <f>G78+D95+D103</f>
        <v>2839.8486264545454</v>
      </c>
    </row>
    <row r="108" spans="1:8" s="68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>
        <f>ROUND((H108*C108),2)</f>
        <v>198.61</v>
      </c>
      <c r="H108" s="43">
        <f>G107+D107</f>
        <v>2925.0486264545452</v>
      </c>
    </row>
    <row r="109" spans="1:8" s="68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68" customFormat="1" ht="14.25" customHeight="1" thickBot="1">
      <c r="A110" s="14"/>
      <c r="B110" s="26" t="s">
        <v>94</v>
      </c>
      <c r="C110" s="27">
        <v>3.6499999999999998E-2</v>
      </c>
      <c r="D110" s="41">
        <f>ROUND((G118*C110),2)</f>
        <v>124.81</v>
      </c>
    </row>
    <row r="111" spans="1:8" s="68" customFormat="1" ht="14.25" customHeight="1" thickBot="1">
      <c r="A111" s="14"/>
      <c r="B111" s="17" t="s">
        <v>126</v>
      </c>
      <c r="C111" s="27">
        <v>0</v>
      </c>
      <c r="D111" s="41">
        <f>G118*C111</f>
        <v>0</v>
      </c>
    </row>
    <row r="112" spans="1:8" s="68" customFormat="1" ht="14.25" customHeight="1" thickBot="1">
      <c r="A112" s="14"/>
      <c r="B112" s="26" t="s">
        <v>95</v>
      </c>
      <c r="C112" s="28">
        <v>0.05</v>
      </c>
      <c r="D112" s="41">
        <f>ROUND((G118*C112),2)</f>
        <v>170.97</v>
      </c>
    </row>
    <row r="113" spans="1:10" s="68" customFormat="1" ht="14.25" customHeight="1" thickBot="1">
      <c r="A113" s="147" t="s">
        <v>51</v>
      </c>
      <c r="B113" s="148"/>
      <c r="C113" s="29"/>
      <c r="D113" s="45">
        <f>SUM(D107:D108,D110:D112)</f>
        <v>579.59</v>
      </c>
    </row>
    <row r="114" spans="1:10" s="68" customFormat="1" ht="14.25" customHeight="1">
      <c r="A114" s="67"/>
      <c r="B114" s="67"/>
      <c r="C114" s="67"/>
      <c r="D114" s="67"/>
    </row>
    <row r="115" spans="1:10" s="68" customFormat="1" ht="14.25" customHeight="1" thickBot="1">
      <c r="A115" s="143" t="s">
        <v>96</v>
      </c>
      <c r="B115" s="144"/>
      <c r="C115" s="144"/>
      <c r="D115" s="144"/>
    </row>
    <row r="116" spans="1:10" s="68" customFormat="1" ht="14.25" customHeight="1" thickBot="1">
      <c r="A116" s="12"/>
      <c r="B116" s="149" t="s">
        <v>97</v>
      </c>
      <c r="C116" s="148"/>
      <c r="D116" s="13" t="s">
        <v>21</v>
      </c>
      <c r="G116" s="43">
        <f>H108+D108</f>
        <v>3123.6586264545454</v>
      </c>
    </row>
    <row r="117" spans="1:10" s="68" customFormat="1" ht="14.25" customHeight="1" thickBot="1">
      <c r="A117" s="30" t="s">
        <v>1</v>
      </c>
      <c r="B117" s="141" t="s">
        <v>19</v>
      </c>
      <c r="C117" s="142"/>
      <c r="D117" s="42">
        <f>D28</f>
        <v>1326.25</v>
      </c>
      <c r="F117" s="68">
        <f>ASG!F121</f>
        <v>0.91349999999999998</v>
      </c>
    </row>
    <row r="118" spans="1:10" s="68" customFormat="1" ht="14.25" customHeight="1" thickBot="1">
      <c r="A118" s="30" t="s">
        <v>3</v>
      </c>
      <c r="B118" s="141" t="s">
        <v>31</v>
      </c>
      <c r="C118" s="142"/>
      <c r="D118" s="42">
        <f>D63</f>
        <v>1019.9289330000001</v>
      </c>
      <c r="G118" s="43">
        <f>ROUND((G116/F117),2)</f>
        <v>3419.44</v>
      </c>
    </row>
    <row r="119" spans="1:10" s="68" customFormat="1" ht="14.25" customHeight="1" thickBot="1">
      <c r="A119" s="30" t="s">
        <v>5</v>
      </c>
      <c r="B119" s="141" t="s">
        <v>59</v>
      </c>
      <c r="C119" s="142"/>
      <c r="D119" s="42">
        <f>D73</f>
        <v>84.421648000000005</v>
      </c>
    </row>
    <row r="120" spans="1:10" s="68" customFormat="1" ht="14.25" customHeight="1" thickBot="1">
      <c r="A120" s="30" t="s">
        <v>7</v>
      </c>
      <c r="B120" s="141" t="s">
        <v>67</v>
      </c>
      <c r="C120" s="142"/>
      <c r="D120" s="42">
        <f>D95</f>
        <v>397.24804545454543</v>
      </c>
    </row>
    <row r="121" spans="1:10" s="68" customFormat="1" ht="14.25" customHeight="1" thickBot="1">
      <c r="A121" s="30" t="s">
        <v>26</v>
      </c>
      <c r="B121" s="153" t="s">
        <v>83</v>
      </c>
      <c r="C121" s="142"/>
      <c r="D121" s="42">
        <f>D103</f>
        <v>12</v>
      </c>
    </row>
    <row r="122" spans="1:10" s="68" customFormat="1" ht="14.25" customHeight="1" thickBot="1">
      <c r="A122" s="147" t="s">
        <v>98</v>
      </c>
      <c r="B122" s="150"/>
      <c r="C122" s="148"/>
      <c r="D122" s="42">
        <f>SUM(D117:D121)</f>
        <v>2839.8486264545454</v>
      </c>
    </row>
    <row r="123" spans="1:10" s="68" customFormat="1" ht="14.25" customHeight="1" thickBot="1">
      <c r="A123" s="12" t="s">
        <v>46</v>
      </c>
      <c r="B123" s="170" t="s">
        <v>99</v>
      </c>
      <c r="C123" s="148"/>
      <c r="D123" s="42">
        <f>D113</f>
        <v>579.59</v>
      </c>
    </row>
    <row r="124" spans="1:10" s="68" customFormat="1" ht="14.25" customHeight="1" thickBot="1">
      <c r="A124" s="173" t="s">
        <v>140</v>
      </c>
      <c r="B124" s="150"/>
      <c r="C124" s="148"/>
      <c r="D124" s="45">
        <f>ROUND((SUM(D122:D123)),2)</f>
        <v>3419.44</v>
      </c>
      <c r="F124" s="43"/>
      <c r="J124" s="60">
        <f>D124*2</f>
        <v>6838.88</v>
      </c>
    </row>
    <row r="125" spans="1:10" s="68" customFormat="1" ht="15" customHeight="1">
      <c r="A125" s="37"/>
      <c r="B125" s="37"/>
      <c r="C125" s="37"/>
      <c r="D125" s="38"/>
    </row>
    <row r="126" spans="1:10" s="68" customFormat="1" ht="15" customHeight="1">
      <c r="A126" s="174"/>
      <c r="B126" s="175"/>
      <c r="C126" s="175"/>
      <c r="D126" s="175"/>
      <c r="E126" s="176"/>
      <c r="J126" s="46">
        <f>12827.7-J124</f>
        <v>5988.8200000000006</v>
      </c>
    </row>
    <row r="127" spans="1:10" s="68" customFormat="1" ht="15" customHeight="1">
      <c r="A127" s="31"/>
      <c r="B127" s="31"/>
      <c r="C127" s="31"/>
      <c r="D127" s="31"/>
      <c r="E127" s="31"/>
    </row>
    <row r="128" spans="1:10" s="68" customFormat="1" ht="15" customHeight="1">
      <c r="A128" s="31"/>
      <c r="B128" s="31"/>
      <c r="C128" s="31"/>
      <c r="D128" s="31"/>
      <c r="E128" s="31"/>
    </row>
    <row r="129" spans="1:5" s="68" customFormat="1" ht="15" customHeight="1">
      <c r="A129" s="32"/>
      <c r="B129" s="31"/>
      <c r="C129" s="31"/>
      <c r="D129" s="31"/>
      <c r="E129" s="31"/>
    </row>
    <row r="130" spans="1:5" s="68" customFormat="1" ht="15" customHeight="1">
      <c r="A130" s="32"/>
      <c r="B130" s="31"/>
      <c r="C130" s="31"/>
      <c r="D130" s="31"/>
      <c r="E130" s="31"/>
    </row>
    <row r="131" spans="1:5" s="68" customFormat="1" ht="15" customHeight="1">
      <c r="A131" s="32"/>
      <c r="B131" s="31"/>
      <c r="C131" s="31"/>
      <c r="D131" s="31"/>
      <c r="E131" s="31"/>
    </row>
    <row r="135" spans="1:5">
      <c r="D135" s="53"/>
    </row>
    <row r="136" spans="1:5">
      <c r="D136" s="53">
        <f>D124*2</f>
        <v>6838.88</v>
      </c>
    </row>
    <row r="137" spans="1:5">
      <c r="D137" s="53">
        <f>D136/2</f>
        <v>3419.44</v>
      </c>
    </row>
    <row r="139" spans="1:5">
      <c r="B139" s="69" t="s">
        <v>142</v>
      </c>
      <c r="D139" s="39">
        <f>PORTEIRO!D124-'portaria diurno'!D136</f>
        <v>-6838.88</v>
      </c>
    </row>
    <row r="140" spans="1:5">
      <c r="D140" s="53">
        <f>D139/2</f>
        <v>-3419.44</v>
      </c>
    </row>
    <row r="141" spans="1:5">
      <c r="D141" s="49"/>
    </row>
    <row r="143" spans="1:5">
      <c r="D143" s="49"/>
    </row>
    <row r="144" spans="1:5">
      <c r="D144" s="49"/>
    </row>
  </sheetData>
  <mergeCells count="95">
    <mergeCell ref="C7:D7"/>
    <mergeCell ref="A1:D1"/>
    <mergeCell ref="A3:D3"/>
    <mergeCell ref="C4:D4"/>
    <mergeCell ref="C5:D5"/>
    <mergeCell ref="C6:D6"/>
    <mergeCell ref="B22:C22"/>
    <mergeCell ref="A9:D9"/>
    <mergeCell ref="A10:B10"/>
    <mergeCell ref="A11:B11"/>
    <mergeCell ref="C13:D13"/>
    <mergeCell ref="C14:D14"/>
    <mergeCell ref="C15:D15"/>
    <mergeCell ref="C16:D16"/>
    <mergeCell ref="C17:D17"/>
    <mergeCell ref="A19:D19"/>
    <mergeCell ref="B20:C20"/>
    <mergeCell ref="B21:C21"/>
    <mergeCell ref="A35:C35"/>
    <mergeCell ref="B23:C23"/>
    <mergeCell ref="B24:C24"/>
    <mergeCell ref="B25:C25"/>
    <mergeCell ref="B26:C26"/>
    <mergeCell ref="B27:C27"/>
    <mergeCell ref="A28:C28"/>
    <mergeCell ref="A30:D30"/>
    <mergeCell ref="A31:D31"/>
    <mergeCell ref="B32:C32"/>
    <mergeCell ref="B33:C33"/>
    <mergeCell ref="B34:C34"/>
    <mergeCell ref="B59:C59"/>
    <mergeCell ref="A37:D37"/>
    <mergeCell ref="A47:B47"/>
    <mergeCell ref="A49:D49"/>
    <mergeCell ref="B50:C50"/>
    <mergeCell ref="B51:C51"/>
    <mergeCell ref="B52:C52"/>
    <mergeCell ref="B53:C53"/>
    <mergeCell ref="B54:C54"/>
    <mergeCell ref="B55:C55"/>
    <mergeCell ref="A56:C56"/>
    <mergeCell ref="A58:D58"/>
    <mergeCell ref="B72:C72"/>
    <mergeCell ref="B60:C60"/>
    <mergeCell ref="B61:C61"/>
    <mergeCell ref="B62:C62"/>
    <mergeCell ref="A63:C63"/>
    <mergeCell ref="A65:D65"/>
    <mergeCell ref="B66:C66"/>
    <mergeCell ref="B67:C67"/>
    <mergeCell ref="B68:C68"/>
    <mergeCell ref="B69:C69"/>
    <mergeCell ref="B70:C70"/>
    <mergeCell ref="B71:C71"/>
    <mergeCell ref="A86:D86"/>
    <mergeCell ref="A73:C73"/>
    <mergeCell ref="A75:D75"/>
    <mergeCell ref="A76:D76"/>
    <mergeCell ref="B77:C77"/>
    <mergeCell ref="B78:C78"/>
    <mergeCell ref="B79:C79"/>
    <mergeCell ref="B80:C80"/>
    <mergeCell ref="B81:C81"/>
    <mergeCell ref="B82:C82"/>
    <mergeCell ref="B83:C83"/>
    <mergeCell ref="A84:C84"/>
    <mergeCell ref="B100:C100"/>
    <mergeCell ref="B87:C87"/>
    <mergeCell ref="B88:C88"/>
    <mergeCell ref="A89:C89"/>
    <mergeCell ref="A91:D91"/>
    <mergeCell ref="B92:C92"/>
    <mergeCell ref="B93:C93"/>
    <mergeCell ref="B94:C94"/>
    <mergeCell ref="A95:C95"/>
    <mergeCell ref="A97:D97"/>
    <mergeCell ref="B98:C98"/>
    <mergeCell ref="B99:C99"/>
    <mergeCell ref="B120:C120"/>
    <mergeCell ref="B101:C101"/>
    <mergeCell ref="B102:C102"/>
    <mergeCell ref="A103:C103"/>
    <mergeCell ref="A105:D105"/>
    <mergeCell ref="B109:D109"/>
    <mergeCell ref="A113:B113"/>
    <mergeCell ref="A115:D115"/>
    <mergeCell ref="B116:C116"/>
    <mergeCell ref="B117:C117"/>
    <mergeCell ref="B118:C118"/>
    <mergeCell ref="B119:C119"/>
    <mergeCell ref="B121:C121"/>
    <mergeCell ref="A122:C122"/>
    <mergeCell ref="B123:C123"/>
    <mergeCell ref="A124:C124"/>
    <mergeCell ref="A126:E126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1"/>
  <sheetViews>
    <sheetView topLeftCell="A97" workbookViewId="0">
      <selection activeCell="D24" sqref="D24"/>
    </sheetView>
  </sheetViews>
  <sheetFormatPr defaultRowHeight="14.25"/>
  <cols>
    <col min="2" max="2" width="48.875" customWidth="1"/>
    <col min="4" max="4" width="13.125" customWidth="1"/>
    <col min="6" max="7" width="12" bestFit="1" customWidth="1"/>
    <col min="8" max="8" width="14.5" customWidth="1"/>
    <col min="9" max="9" width="13.125" bestFit="1" customWidth="1"/>
    <col min="10" max="10" width="10.375" customWidth="1"/>
  </cols>
  <sheetData>
    <row r="1" spans="1:4" s="71" customFormat="1" ht="14.25" customHeight="1">
      <c r="A1" s="156"/>
      <c r="B1" s="157"/>
      <c r="C1" s="157"/>
      <c r="D1" s="157"/>
    </row>
    <row r="2" spans="1:4" s="71" customFormat="1" ht="14.25" customHeight="1">
      <c r="A2" s="67"/>
      <c r="B2" s="67"/>
      <c r="C2" s="67"/>
      <c r="D2" s="67"/>
    </row>
    <row r="3" spans="1:4" s="71" customFormat="1" ht="14.25" customHeight="1" thickBot="1">
      <c r="A3" s="143" t="s">
        <v>0</v>
      </c>
      <c r="B3" s="144"/>
      <c r="C3" s="144"/>
      <c r="D3" s="144"/>
    </row>
    <row r="4" spans="1:4" s="71" customFormat="1" ht="14.25" customHeight="1" thickBot="1">
      <c r="A4" s="9" t="s">
        <v>1</v>
      </c>
      <c r="B4" s="10" t="s">
        <v>2</v>
      </c>
      <c r="C4" s="158">
        <f>ASG!C4</f>
        <v>44692</v>
      </c>
      <c r="D4" s="163"/>
    </row>
    <row r="5" spans="1:4" s="71" customFormat="1" ht="14.25" customHeight="1" thickBot="1">
      <c r="A5" s="9" t="s">
        <v>3</v>
      </c>
      <c r="B5" s="10" t="s">
        <v>4</v>
      </c>
      <c r="C5" s="158" t="str">
        <f>RECEPCIONISTA!C5</f>
        <v>Recife / PE</v>
      </c>
      <c r="D5" s="163"/>
    </row>
    <row r="6" spans="1:4" s="71" customFormat="1" ht="14.25" customHeight="1" thickBot="1">
      <c r="A6" s="9" t="s">
        <v>5</v>
      </c>
      <c r="B6" s="10" t="s">
        <v>6</v>
      </c>
      <c r="C6" s="154" t="str">
        <f>RECEPCIONISTA!C6</f>
        <v>PE000089/2022</v>
      </c>
      <c r="D6" s="148"/>
    </row>
    <row r="7" spans="1:4" s="71" customFormat="1" ht="14.25" customHeight="1" thickBot="1">
      <c r="A7" s="9" t="s">
        <v>7</v>
      </c>
      <c r="B7" s="10" t="s">
        <v>8</v>
      </c>
      <c r="C7" s="154">
        <v>12</v>
      </c>
      <c r="D7" s="148"/>
    </row>
    <row r="8" spans="1:4" s="71" customFormat="1" ht="14.25" customHeight="1">
      <c r="A8" s="67"/>
      <c r="B8" s="67"/>
      <c r="C8" s="67"/>
      <c r="D8" s="67"/>
    </row>
    <row r="9" spans="1:4" s="71" customFormat="1" ht="14.25" customHeight="1" thickBot="1">
      <c r="A9" s="143" t="s">
        <v>9</v>
      </c>
      <c r="B9" s="144"/>
      <c r="C9" s="144"/>
      <c r="D9" s="144"/>
    </row>
    <row r="10" spans="1:4" s="71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s="71" customFormat="1" ht="14.25" customHeight="1" thickBot="1">
      <c r="A11" s="154" t="s">
        <v>150</v>
      </c>
      <c r="B11" s="148"/>
      <c r="C11" s="9" t="s">
        <v>141</v>
      </c>
      <c r="D11" s="9">
        <v>1</v>
      </c>
    </row>
    <row r="12" spans="1:4" s="71" customFormat="1" ht="14.25" customHeight="1" thickBot="1">
      <c r="A12" s="67"/>
      <c r="B12" s="67"/>
      <c r="C12" s="67"/>
      <c r="D12" s="67"/>
    </row>
    <row r="13" spans="1:4" s="71" customFormat="1" ht="14.25" customHeight="1" thickBot="1">
      <c r="A13" s="9">
        <v>1</v>
      </c>
      <c r="B13" s="10" t="s">
        <v>14</v>
      </c>
      <c r="C13" s="154" t="str">
        <f>A11</f>
        <v>Portaria 12 horas</v>
      </c>
      <c r="D13" s="148"/>
    </row>
    <row r="14" spans="1:4" s="71" customFormat="1" ht="14.25" customHeight="1" thickBot="1">
      <c r="A14" s="9">
        <v>2</v>
      </c>
      <c r="B14" s="10" t="s">
        <v>15</v>
      </c>
      <c r="C14" s="154" t="s">
        <v>129</v>
      </c>
      <c r="D14" s="148"/>
    </row>
    <row r="15" spans="1:4" s="71" customFormat="1" ht="14.25" customHeight="1" thickBot="1">
      <c r="A15" s="9">
        <v>3</v>
      </c>
      <c r="B15" s="10" t="s">
        <v>16</v>
      </c>
      <c r="C15" s="160">
        <f>RECEPCIONISTA!C15</f>
        <v>1326.25</v>
      </c>
      <c r="D15" s="161"/>
    </row>
    <row r="16" spans="1:4" s="71" customFormat="1" ht="14.25" customHeight="1" thickBot="1">
      <c r="A16" s="9">
        <v>4</v>
      </c>
      <c r="B16" s="10" t="s">
        <v>17</v>
      </c>
      <c r="C16" s="154" t="s">
        <v>128</v>
      </c>
      <c r="D16" s="148"/>
    </row>
    <row r="17" spans="1:8" s="71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8" s="71" customFormat="1" ht="14.25" customHeight="1">
      <c r="A18" s="67"/>
      <c r="B18" s="67"/>
      <c r="C18" s="67"/>
      <c r="D18" s="67"/>
    </row>
    <row r="19" spans="1:8" s="71" customFormat="1" ht="14.25" customHeight="1" thickBot="1">
      <c r="A19" s="143" t="s">
        <v>19</v>
      </c>
      <c r="B19" s="144"/>
      <c r="C19" s="144"/>
      <c r="D19" s="144"/>
    </row>
    <row r="20" spans="1:8" s="71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8" s="71" customFormat="1" ht="14.25" customHeight="1" thickBot="1">
      <c r="A21" s="14" t="s">
        <v>1</v>
      </c>
      <c r="B21" s="141" t="s">
        <v>151</v>
      </c>
      <c r="C21" s="142"/>
      <c r="D21" s="41">
        <f>C15</f>
        <v>1326.25</v>
      </c>
    </row>
    <row r="22" spans="1:8" s="71" customFormat="1" ht="14.25" customHeight="1" thickBot="1">
      <c r="A22" s="14" t="s">
        <v>3</v>
      </c>
      <c r="B22" s="141" t="s">
        <v>23</v>
      </c>
      <c r="C22" s="142"/>
      <c r="D22" s="41"/>
    </row>
    <row r="23" spans="1:8" s="71" customFormat="1" ht="14.25" customHeight="1" thickBot="1">
      <c r="A23" s="14" t="s">
        <v>5</v>
      </c>
      <c r="B23" s="141" t="s">
        <v>24</v>
      </c>
      <c r="C23" s="142"/>
      <c r="D23" s="41"/>
    </row>
    <row r="24" spans="1:8" s="71" customFormat="1" ht="14.25" customHeight="1" thickBot="1">
      <c r="A24" s="14" t="s">
        <v>7</v>
      </c>
      <c r="B24" s="141" t="s">
        <v>25</v>
      </c>
      <c r="C24" s="142"/>
      <c r="D24" s="41">
        <f>G24*8*30.44</f>
        <v>293.6076363636364</v>
      </c>
      <c r="F24" s="60">
        <f>C15/220</f>
        <v>6.0284090909090908</v>
      </c>
      <c r="G24" s="60">
        <f>F24*20%</f>
        <v>1.2056818181818183</v>
      </c>
    </row>
    <row r="25" spans="1:8" s="71" customFormat="1" ht="14.25" customHeight="1" thickBot="1">
      <c r="A25" s="14" t="s">
        <v>26</v>
      </c>
      <c r="B25" s="141" t="s">
        <v>27</v>
      </c>
      <c r="C25" s="142"/>
      <c r="D25" s="41">
        <f>H25*30.44</f>
        <v>275.25715909090911</v>
      </c>
      <c r="F25" s="60"/>
      <c r="G25" s="60">
        <f>F24*50%</f>
        <v>3.0142045454545454</v>
      </c>
      <c r="H25" s="46">
        <f>F24+G25</f>
        <v>9.0426136363636367</v>
      </c>
    </row>
    <row r="26" spans="1:8" s="71" customFormat="1" ht="14.25" customHeight="1" thickBot="1">
      <c r="A26" s="14" t="s">
        <v>46</v>
      </c>
      <c r="B26" s="141"/>
      <c r="C26" s="142"/>
      <c r="D26" s="41"/>
      <c r="F26" s="60"/>
      <c r="G26" s="60"/>
    </row>
    <row r="27" spans="1:8" s="71" customFormat="1" ht="14.25" customHeight="1" thickBot="1">
      <c r="A27" s="14" t="s">
        <v>28</v>
      </c>
      <c r="B27" s="153" t="s">
        <v>131</v>
      </c>
      <c r="C27" s="142"/>
      <c r="D27" s="41">
        <f>(D24+D25)/25*5</f>
        <v>113.77295909090911</v>
      </c>
      <c r="F27" s="60"/>
      <c r="G27" s="60"/>
    </row>
    <row r="28" spans="1:8" s="71" customFormat="1" ht="14.25" customHeight="1" thickBot="1">
      <c r="A28" s="147" t="s">
        <v>30</v>
      </c>
      <c r="B28" s="150"/>
      <c r="C28" s="148"/>
      <c r="D28" s="42">
        <f>SUM(D21:D27)</f>
        <v>2008.8877545454545</v>
      </c>
    </row>
    <row r="29" spans="1:8" s="71" customFormat="1" ht="14.25" customHeight="1">
      <c r="A29" s="67"/>
      <c r="B29" s="67"/>
      <c r="C29" s="67"/>
      <c r="D29" s="67"/>
    </row>
    <row r="30" spans="1:8" s="71" customFormat="1" ht="14.25" customHeight="1">
      <c r="A30" s="143" t="s">
        <v>31</v>
      </c>
      <c r="B30" s="144"/>
      <c r="C30" s="144"/>
      <c r="D30" s="144"/>
    </row>
    <row r="31" spans="1:8" s="71" customFormat="1" ht="14.25" customHeight="1" thickBot="1">
      <c r="A31" s="151" t="s">
        <v>32</v>
      </c>
      <c r="B31" s="144"/>
      <c r="C31" s="144"/>
      <c r="D31" s="144"/>
    </row>
    <row r="32" spans="1:8" s="71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71" customFormat="1" ht="14.25" customHeight="1" thickBot="1">
      <c r="A33" s="14" t="s">
        <v>1</v>
      </c>
      <c r="B33" s="141" t="s">
        <v>35</v>
      </c>
      <c r="C33" s="142"/>
      <c r="D33" s="42">
        <f>D28*8.33%</f>
        <v>167.34034995363635</v>
      </c>
    </row>
    <row r="34" spans="1:7" s="71" customFormat="1" ht="14.25" customHeight="1" thickBot="1">
      <c r="A34" s="14" t="s">
        <v>3</v>
      </c>
      <c r="B34" s="153" t="s">
        <v>36</v>
      </c>
      <c r="C34" s="142"/>
      <c r="D34" s="42">
        <f>D28*12.1%</f>
        <v>243.0754183</v>
      </c>
    </row>
    <row r="35" spans="1:7" s="71" customFormat="1" ht="14.25" customHeight="1" thickBot="1">
      <c r="A35" s="147" t="s">
        <v>30</v>
      </c>
      <c r="B35" s="150"/>
      <c r="C35" s="148"/>
      <c r="D35" s="42">
        <f>SUM(D33:D34)</f>
        <v>410.41576825363632</v>
      </c>
    </row>
    <row r="36" spans="1:7" s="71" customFormat="1" ht="14.25" customHeight="1">
      <c r="A36" s="67"/>
      <c r="B36" s="67"/>
      <c r="C36" s="67"/>
      <c r="D36" s="67"/>
    </row>
    <row r="37" spans="1:7" s="71" customFormat="1" ht="32.25" customHeight="1" thickBot="1">
      <c r="A37" s="171" t="s">
        <v>37</v>
      </c>
      <c r="B37" s="144"/>
      <c r="C37" s="144"/>
      <c r="D37" s="144"/>
    </row>
    <row r="38" spans="1:7" s="71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71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483.8607045598182</v>
      </c>
      <c r="G39" s="46">
        <f>D35+D28</f>
        <v>2419.3035227990908</v>
      </c>
    </row>
    <row r="40" spans="1:7" s="71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60.482588069977275</v>
      </c>
    </row>
    <row r="41" spans="1:7" s="71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72.579105683972728</v>
      </c>
    </row>
    <row r="42" spans="1:7" s="71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36.289552841986364</v>
      </c>
    </row>
    <row r="43" spans="1:7" s="71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24.193035227990908</v>
      </c>
    </row>
    <row r="44" spans="1:7" s="71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14.515821136794546</v>
      </c>
    </row>
    <row r="45" spans="1:7" s="71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4.8386070455981818</v>
      </c>
    </row>
    <row r="46" spans="1:7" s="71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193.54428182392726</v>
      </c>
    </row>
    <row r="47" spans="1:7" s="71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890.3036963900654</v>
      </c>
    </row>
    <row r="48" spans="1:7" s="71" customFormat="1" ht="14.25" customHeight="1">
      <c r="A48" s="67"/>
      <c r="B48" s="67"/>
      <c r="C48" s="67"/>
      <c r="D48" s="67"/>
    </row>
    <row r="49" spans="1:4" s="71" customFormat="1" ht="14.25" customHeight="1" thickBot="1">
      <c r="A49" s="172" t="s">
        <v>52</v>
      </c>
      <c r="B49" s="144"/>
      <c r="C49" s="144"/>
      <c r="D49" s="144"/>
    </row>
    <row r="50" spans="1:4" s="71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71" customFormat="1" ht="14.25" customHeight="1" thickBot="1">
      <c r="A51" s="14" t="s">
        <v>1</v>
      </c>
      <c r="B51" s="165" t="s">
        <v>55</v>
      </c>
      <c r="C51" s="148"/>
      <c r="D51" s="41">
        <f>(ASG!H52*2*15.22)-(D21*6%)</f>
        <v>68.058999999999983</v>
      </c>
    </row>
    <row r="52" spans="1:4" s="71" customFormat="1" ht="14.25" customHeight="1" thickBot="1">
      <c r="A52" s="14" t="s">
        <v>3</v>
      </c>
      <c r="B52" s="165" t="s">
        <v>56</v>
      </c>
      <c r="C52" s="148"/>
      <c r="D52" s="44">
        <f>(7.65*15.22)*80%</f>
        <v>93.146400000000014</v>
      </c>
    </row>
    <row r="53" spans="1:4" s="71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71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71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</f>
        <v>0</v>
      </c>
    </row>
    <row r="56" spans="1:4" s="71" customFormat="1" ht="14.25" customHeight="1" thickBot="1">
      <c r="A56" s="147" t="s">
        <v>30</v>
      </c>
      <c r="B56" s="150"/>
      <c r="C56" s="148"/>
      <c r="D56" s="41">
        <f>SUM(D51:D55)</f>
        <v>161.2054</v>
      </c>
    </row>
    <row r="57" spans="1:4" s="71" customFormat="1" ht="14.25" customHeight="1">
      <c r="A57" s="67"/>
      <c r="B57" s="67"/>
      <c r="C57" s="67"/>
      <c r="D57" s="67"/>
    </row>
    <row r="58" spans="1:4" s="71" customFormat="1" ht="14.25" customHeight="1" thickBot="1">
      <c r="A58" s="151" t="s">
        <v>57</v>
      </c>
      <c r="B58" s="144"/>
      <c r="C58" s="144"/>
      <c r="D58" s="144"/>
    </row>
    <row r="59" spans="1:4" s="71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4" s="71" customFormat="1" ht="14.25" customHeight="1" thickBot="1">
      <c r="A60" s="14" t="s">
        <v>33</v>
      </c>
      <c r="B60" s="165" t="s">
        <v>34</v>
      </c>
      <c r="C60" s="148"/>
      <c r="D60" s="41">
        <f>D35</f>
        <v>410.41576825363632</v>
      </c>
    </row>
    <row r="61" spans="1:4" s="71" customFormat="1" ht="14.25" customHeight="1" thickBot="1">
      <c r="A61" s="14" t="s">
        <v>38</v>
      </c>
      <c r="B61" s="165" t="s">
        <v>39</v>
      </c>
      <c r="C61" s="148"/>
      <c r="D61" s="41">
        <f>D47</f>
        <v>890.3036963900654</v>
      </c>
    </row>
    <row r="62" spans="1:4" s="71" customFormat="1" ht="14.25" customHeight="1" thickBot="1">
      <c r="A62" s="22" t="s">
        <v>53</v>
      </c>
      <c r="B62" s="170" t="s">
        <v>54</v>
      </c>
      <c r="C62" s="148"/>
      <c r="D62" s="41">
        <f>D56</f>
        <v>161.2054</v>
      </c>
    </row>
    <row r="63" spans="1:4" s="71" customFormat="1" ht="14.25" customHeight="1" thickBot="1">
      <c r="A63" s="147" t="s">
        <v>30</v>
      </c>
      <c r="B63" s="150"/>
      <c r="C63" s="148"/>
      <c r="D63" s="41">
        <f>SUM(D60:D62)</f>
        <v>1461.9248646437018</v>
      </c>
    </row>
    <row r="64" spans="1:4" s="71" customFormat="1" ht="14.25" customHeight="1">
      <c r="A64" s="6"/>
      <c r="B64" s="67"/>
      <c r="C64" s="67"/>
      <c r="D64" s="67"/>
    </row>
    <row r="65" spans="1:7" s="71" customFormat="1" ht="14.25" customHeight="1" thickBot="1">
      <c r="A65" s="143" t="s">
        <v>59</v>
      </c>
      <c r="B65" s="144"/>
      <c r="C65" s="144"/>
      <c r="D65" s="144"/>
    </row>
    <row r="66" spans="1:7" s="71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71" customFormat="1" ht="14.25" customHeight="1" thickBot="1">
      <c r="A67" s="14" t="s">
        <v>1</v>
      </c>
      <c r="B67" s="141" t="s">
        <v>61</v>
      </c>
      <c r="C67" s="142"/>
      <c r="D67" s="41">
        <f>$D$28*0.46%</f>
        <v>9.2408836709090902</v>
      </c>
    </row>
    <row r="68" spans="1:7" s="71" customFormat="1" ht="14.25" customHeight="1" thickBot="1">
      <c r="A68" s="14" t="s">
        <v>3</v>
      </c>
      <c r="B68" s="141" t="s">
        <v>62</v>
      </c>
      <c r="C68" s="142"/>
      <c r="D68" s="41">
        <f>D67*C46</f>
        <v>0.73927069367272724</v>
      </c>
    </row>
    <row r="69" spans="1:7" s="71" customFormat="1" ht="14.25" customHeight="1" thickBot="1">
      <c r="A69" s="14" t="s">
        <v>5</v>
      </c>
      <c r="B69" s="152" t="s">
        <v>63</v>
      </c>
      <c r="C69" s="142"/>
      <c r="D69" s="41">
        <f>D67*8%*40%</f>
        <v>0.2957082774690909</v>
      </c>
    </row>
    <row r="70" spans="1:7" s="71" customFormat="1" ht="14.25" customHeight="1" thickBot="1">
      <c r="A70" s="14" t="s">
        <v>7</v>
      </c>
      <c r="B70" s="141" t="s">
        <v>64</v>
      </c>
      <c r="C70" s="142"/>
      <c r="D70" s="41">
        <f>$D$28*1.94%</f>
        <v>38.972422438181816</v>
      </c>
    </row>
    <row r="71" spans="1:7" s="71" customFormat="1" ht="14.25" customHeight="1" thickBot="1">
      <c r="A71" s="23" t="s">
        <v>26</v>
      </c>
      <c r="B71" s="168" t="s">
        <v>65</v>
      </c>
      <c r="C71" s="169"/>
      <c r="D71" s="41">
        <f>D70*C47</f>
        <v>14.341851457250911</v>
      </c>
    </row>
    <row r="72" spans="1:7" s="71" customFormat="1" ht="14.25" customHeight="1" thickBot="1">
      <c r="A72" s="22" t="s">
        <v>46</v>
      </c>
      <c r="B72" s="167" t="s">
        <v>66</v>
      </c>
      <c r="C72" s="148"/>
      <c r="D72" s="41">
        <f>$D$28*3.2%</f>
        <v>64.284408145454549</v>
      </c>
    </row>
    <row r="73" spans="1:7" s="71" customFormat="1" ht="14.25" customHeight="1" thickBot="1">
      <c r="A73" s="147" t="s">
        <v>30</v>
      </c>
      <c r="B73" s="150"/>
      <c r="C73" s="148"/>
      <c r="D73" s="42">
        <f>SUM(D67:D72)</f>
        <v>127.87454468293819</v>
      </c>
    </row>
    <row r="74" spans="1:7" s="71" customFormat="1" ht="14.25" customHeight="1">
      <c r="A74" s="67"/>
      <c r="B74" s="67"/>
      <c r="C74" s="67"/>
      <c r="D74" s="67"/>
    </row>
    <row r="75" spans="1:7" s="71" customFormat="1" ht="14.25" customHeight="1">
      <c r="A75" s="143" t="s">
        <v>67</v>
      </c>
      <c r="B75" s="144"/>
      <c r="C75" s="144"/>
      <c r="D75" s="144"/>
    </row>
    <row r="76" spans="1:7" s="71" customFormat="1" ht="14.25" customHeight="1" thickBot="1">
      <c r="A76" s="151" t="s">
        <v>68</v>
      </c>
      <c r="B76" s="144"/>
      <c r="C76" s="144"/>
      <c r="D76" s="144"/>
    </row>
    <row r="77" spans="1:7" s="71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71" customFormat="1" ht="14.25" customHeight="1" thickBot="1">
      <c r="A78" s="14" t="s">
        <v>1</v>
      </c>
      <c r="B78" s="152" t="s">
        <v>71</v>
      </c>
      <c r="C78" s="142"/>
      <c r="D78" s="41">
        <f>D28*1.62%</f>
        <v>32.54398162363637</v>
      </c>
      <c r="G78" s="43">
        <f>D28+D63+D73</f>
        <v>3598.6871638720941</v>
      </c>
    </row>
    <row r="79" spans="1:7" s="71" customFormat="1" ht="14.25" customHeight="1" thickBot="1">
      <c r="A79" s="14" t="s">
        <v>3</v>
      </c>
      <c r="B79" s="152" t="s">
        <v>72</v>
      </c>
      <c r="C79" s="142"/>
      <c r="D79" s="41">
        <f>D28*0.28%</f>
        <v>5.6248857127272736</v>
      </c>
    </row>
    <row r="80" spans="1:7" s="71" customFormat="1" ht="14.25" customHeight="1" thickBot="1">
      <c r="A80" s="14" t="s">
        <v>5</v>
      </c>
      <c r="B80" s="152" t="s">
        <v>73</v>
      </c>
      <c r="C80" s="142"/>
      <c r="D80" s="41">
        <f>D28*0.08%</f>
        <v>1.6071102036363636</v>
      </c>
    </row>
    <row r="81" spans="1:4" s="71" customFormat="1" ht="14.25" customHeight="1" thickBot="1">
      <c r="A81" s="14" t="s">
        <v>7</v>
      </c>
      <c r="B81" s="141" t="s">
        <v>74</v>
      </c>
      <c r="C81" s="142"/>
      <c r="D81" s="41">
        <f>D28*0.27%</f>
        <v>5.4239969372727277</v>
      </c>
    </row>
    <row r="82" spans="1:4" s="71" customFormat="1" ht="14.25" customHeight="1" thickBot="1">
      <c r="A82" s="14" t="s">
        <v>26</v>
      </c>
      <c r="B82" s="177" t="s">
        <v>75</v>
      </c>
      <c r="C82" s="142"/>
      <c r="D82" s="41">
        <f>D28*0.03%</f>
        <v>0.60266632636363626</v>
      </c>
    </row>
    <row r="83" spans="1:4" s="71" customFormat="1" ht="14.25" customHeight="1" thickBot="1">
      <c r="A83" s="14" t="s">
        <v>46</v>
      </c>
      <c r="B83" s="178" t="s">
        <v>76</v>
      </c>
      <c r="C83" s="142"/>
      <c r="D83" s="41"/>
    </row>
    <row r="84" spans="1:4" s="71" customFormat="1" ht="14.25" customHeight="1" thickBot="1">
      <c r="A84" s="147" t="s">
        <v>51</v>
      </c>
      <c r="B84" s="150"/>
      <c r="C84" s="148"/>
      <c r="D84" s="41">
        <f>SUM(D78:D83)</f>
        <v>45.802640803636379</v>
      </c>
    </row>
    <row r="85" spans="1:4" s="71" customFormat="1" ht="14.25" customHeight="1">
      <c r="A85" s="67"/>
      <c r="B85" s="67"/>
      <c r="C85" s="67"/>
      <c r="D85" s="67"/>
    </row>
    <row r="86" spans="1:4" s="71" customFormat="1" ht="14.25" customHeight="1" thickBot="1">
      <c r="A86" s="151" t="s">
        <v>77</v>
      </c>
      <c r="B86" s="144"/>
      <c r="C86" s="144"/>
      <c r="D86" s="144"/>
    </row>
    <row r="87" spans="1:4" s="71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4" s="71" customFormat="1" ht="14.25" customHeight="1" thickBot="1">
      <c r="A88" s="14" t="s">
        <v>1</v>
      </c>
      <c r="B88" s="153" t="s">
        <v>80</v>
      </c>
      <c r="C88" s="142"/>
      <c r="D88" s="41">
        <v>0</v>
      </c>
    </row>
    <row r="89" spans="1:4" s="71" customFormat="1" ht="14.25" customHeight="1" thickBot="1">
      <c r="A89" s="147" t="s">
        <v>30</v>
      </c>
      <c r="B89" s="150"/>
      <c r="C89" s="148"/>
      <c r="D89" s="42">
        <f>D88</f>
        <v>0</v>
      </c>
    </row>
    <row r="90" spans="1:4" s="71" customFormat="1" ht="14.25" customHeight="1">
      <c r="A90" s="67"/>
      <c r="B90" s="67"/>
      <c r="C90" s="67"/>
      <c r="D90" s="67"/>
    </row>
    <row r="91" spans="1:4" s="71" customFormat="1" ht="14.25" customHeight="1" thickBot="1">
      <c r="A91" s="151" t="s">
        <v>81</v>
      </c>
      <c r="B91" s="144"/>
      <c r="C91" s="144"/>
      <c r="D91" s="144"/>
    </row>
    <row r="92" spans="1:4" s="71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4" s="71" customFormat="1" ht="14.25" customHeight="1" thickBot="1">
      <c r="A93" s="14" t="s">
        <v>69</v>
      </c>
      <c r="B93" s="141" t="s">
        <v>70</v>
      </c>
      <c r="C93" s="142"/>
      <c r="D93" s="41">
        <f>D84</f>
        <v>45.802640803636379</v>
      </c>
    </row>
    <row r="94" spans="1:4" s="71" customFormat="1" ht="14.25" customHeight="1" thickBot="1">
      <c r="A94" s="14" t="s">
        <v>78</v>
      </c>
      <c r="B94" s="153" t="s">
        <v>79</v>
      </c>
      <c r="C94" s="142"/>
      <c r="D94" s="41">
        <f>D89</f>
        <v>0</v>
      </c>
    </row>
    <row r="95" spans="1:4" s="71" customFormat="1" ht="14.25" customHeight="1" thickBot="1">
      <c r="A95" s="147" t="s">
        <v>30</v>
      </c>
      <c r="B95" s="150"/>
      <c r="C95" s="148"/>
      <c r="D95" s="41">
        <f>SUM(D93:D94)</f>
        <v>45.802640803636379</v>
      </c>
    </row>
    <row r="96" spans="1:4" s="71" customFormat="1" ht="14.25" customHeight="1">
      <c r="A96" s="67"/>
      <c r="B96" s="67"/>
      <c r="C96" s="67"/>
      <c r="D96" s="67"/>
    </row>
    <row r="97" spans="1:8" s="71" customFormat="1" ht="14.25" customHeight="1" thickBot="1">
      <c r="A97" s="143" t="s">
        <v>83</v>
      </c>
      <c r="B97" s="144"/>
      <c r="C97" s="144"/>
      <c r="D97" s="144"/>
    </row>
    <row r="98" spans="1:8" s="71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71" customFormat="1" ht="14.25" customHeight="1" thickBot="1">
      <c r="A99" s="14" t="s">
        <v>1</v>
      </c>
      <c r="B99" s="141" t="s">
        <v>85</v>
      </c>
      <c r="C99" s="142"/>
      <c r="D99" s="44">
        <f>(ASG!D99+12)</f>
        <v>12</v>
      </c>
    </row>
    <row r="100" spans="1:8" s="71" customFormat="1" ht="14.25" customHeight="1" thickBot="1">
      <c r="A100" s="14" t="s">
        <v>3</v>
      </c>
      <c r="B100" s="153" t="s">
        <v>86</v>
      </c>
      <c r="C100" s="142"/>
      <c r="D100" s="42">
        <v>0</v>
      </c>
    </row>
    <row r="101" spans="1:8" s="71" customFormat="1" ht="14.25" customHeight="1" thickBot="1">
      <c r="A101" s="22" t="s">
        <v>5</v>
      </c>
      <c r="B101" s="170" t="s">
        <v>102</v>
      </c>
      <c r="C101" s="148"/>
      <c r="D101" s="42">
        <f>ASG!D101</f>
        <v>0</v>
      </c>
    </row>
    <row r="102" spans="1:8" s="71" customFormat="1" ht="14.25" customHeight="1" thickBot="1">
      <c r="A102" s="22" t="s">
        <v>7</v>
      </c>
      <c r="B102" s="167" t="s">
        <v>87</v>
      </c>
      <c r="C102" s="148"/>
      <c r="D102" s="42"/>
    </row>
    <row r="103" spans="1:8" s="71" customFormat="1" ht="14.25" customHeight="1" thickBot="1">
      <c r="A103" s="147" t="s">
        <v>51</v>
      </c>
      <c r="B103" s="150"/>
      <c r="C103" s="148"/>
      <c r="D103" s="42">
        <f>SUM(D99:D102)</f>
        <v>12</v>
      </c>
    </row>
    <row r="104" spans="1:8" s="71" customFormat="1" ht="14.25" customHeight="1">
      <c r="A104" s="67"/>
      <c r="B104" s="67"/>
      <c r="C104" s="67"/>
      <c r="D104" s="67"/>
    </row>
    <row r="105" spans="1:8" s="71" customFormat="1" ht="14.25" customHeight="1" thickBot="1">
      <c r="A105" s="143" t="s">
        <v>88</v>
      </c>
      <c r="B105" s="144"/>
      <c r="C105" s="144"/>
      <c r="D105" s="144"/>
    </row>
    <row r="106" spans="1:8" s="71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71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>
        <f>ROUND((G107*C107),2)</f>
        <v>109.69</v>
      </c>
      <c r="G107" s="43">
        <f>G78+D95+D103</f>
        <v>3656.4898046757303</v>
      </c>
    </row>
    <row r="108" spans="1:8" s="71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>
        <f>ROUND((H108*C108),2)</f>
        <v>255.72</v>
      </c>
      <c r="H108" s="43">
        <f>G107+D107</f>
        <v>3766.1798046757303</v>
      </c>
    </row>
    <row r="109" spans="1:8" s="71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71" customFormat="1" ht="14.25" customHeight="1" thickBot="1">
      <c r="A110" s="14"/>
      <c r="B110" s="26" t="s">
        <v>94</v>
      </c>
      <c r="C110" s="27">
        <v>3.6499999999999998E-2</v>
      </c>
      <c r="D110" s="41">
        <f>ROUND((G118*C110),2)</f>
        <v>160.69999999999999</v>
      </c>
    </row>
    <row r="111" spans="1:8" s="71" customFormat="1" ht="14.25" customHeight="1" thickBot="1">
      <c r="A111" s="14"/>
      <c r="B111" s="17" t="s">
        <v>126</v>
      </c>
      <c r="C111" s="27">
        <v>0</v>
      </c>
      <c r="D111" s="41">
        <f>G118*C111</f>
        <v>0</v>
      </c>
    </row>
    <row r="112" spans="1:8" s="71" customFormat="1" ht="14.25" customHeight="1" thickBot="1">
      <c r="A112" s="14"/>
      <c r="B112" s="26" t="s">
        <v>95</v>
      </c>
      <c r="C112" s="28">
        <v>0.05</v>
      </c>
      <c r="D112" s="41">
        <f>ROUND((G118*C112),2)</f>
        <v>220.14</v>
      </c>
    </row>
    <row r="113" spans="1:10" s="71" customFormat="1" ht="14.25" customHeight="1" thickBot="1">
      <c r="A113" s="147" t="s">
        <v>51</v>
      </c>
      <c r="B113" s="148"/>
      <c r="C113" s="29"/>
      <c r="D113" s="45">
        <f>SUM(D107:D108,D110:D112)</f>
        <v>746.24999999999989</v>
      </c>
    </row>
    <row r="114" spans="1:10" s="71" customFormat="1" ht="14.25" customHeight="1">
      <c r="A114" s="67"/>
      <c r="B114" s="67"/>
      <c r="C114" s="67"/>
      <c r="D114" s="67"/>
    </row>
    <row r="115" spans="1:10" s="71" customFormat="1" ht="14.25" customHeight="1" thickBot="1">
      <c r="A115" s="143" t="s">
        <v>96</v>
      </c>
      <c r="B115" s="144"/>
      <c r="C115" s="144"/>
      <c r="D115" s="144"/>
    </row>
    <row r="116" spans="1:10" s="71" customFormat="1" ht="14.25" customHeight="1" thickBot="1">
      <c r="A116" s="12"/>
      <c r="B116" s="149" t="s">
        <v>97</v>
      </c>
      <c r="C116" s="148"/>
      <c r="D116" s="13" t="s">
        <v>21</v>
      </c>
      <c r="G116" s="43">
        <f>H108+D108</f>
        <v>4021.8998046757301</v>
      </c>
    </row>
    <row r="117" spans="1:10" s="71" customFormat="1" ht="14.25" customHeight="1" thickBot="1">
      <c r="A117" s="30" t="s">
        <v>1</v>
      </c>
      <c r="B117" s="141" t="s">
        <v>19</v>
      </c>
      <c r="C117" s="142"/>
      <c r="D117" s="42">
        <f>D28</f>
        <v>2008.8877545454545</v>
      </c>
      <c r="F117" s="71">
        <f>ASG!F121</f>
        <v>0.91349999999999998</v>
      </c>
    </row>
    <row r="118" spans="1:10" s="71" customFormat="1" ht="14.25" customHeight="1" thickBot="1">
      <c r="A118" s="30" t="s">
        <v>3</v>
      </c>
      <c r="B118" s="141" t="s">
        <v>31</v>
      </c>
      <c r="C118" s="142"/>
      <c r="D118" s="42">
        <f>D63</f>
        <v>1461.9248646437018</v>
      </c>
      <c r="G118" s="43">
        <f>ROUND((G116/F117),2)</f>
        <v>4402.74</v>
      </c>
    </row>
    <row r="119" spans="1:10" s="71" customFormat="1" ht="14.25" customHeight="1" thickBot="1">
      <c r="A119" s="30" t="s">
        <v>5</v>
      </c>
      <c r="B119" s="141" t="s">
        <v>59</v>
      </c>
      <c r="C119" s="142"/>
      <c r="D119" s="42">
        <f>D73</f>
        <v>127.87454468293819</v>
      </c>
    </row>
    <row r="120" spans="1:10" s="71" customFormat="1" ht="14.25" customHeight="1" thickBot="1">
      <c r="A120" s="30" t="s">
        <v>7</v>
      </c>
      <c r="B120" s="141" t="s">
        <v>67</v>
      </c>
      <c r="C120" s="142"/>
      <c r="D120" s="42">
        <f>D95</f>
        <v>45.802640803636379</v>
      </c>
    </row>
    <row r="121" spans="1:10" s="71" customFormat="1" ht="14.25" customHeight="1" thickBot="1">
      <c r="A121" s="30" t="s">
        <v>26</v>
      </c>
      <c r="B121" s="153" t="s">
        <v>83</v>
      </c>
      <c r="C121" s="142"/>
      <c r="D121" s="42">
        <f>D103</f>
        <v>12</v>
      </c>
    </row>
    <row r="122" spans="1:10" s="71" customFormat="1" ht="14.25" customHeight="1" thickBot="1">
      <c r="A122" s="147" t="s">
        <v>98</v>
      </c>
      <c r="B122" s="150"/>
      <c r="C122" s="148"/>
      <c r="D122" s="42">
        <f>SUM(D117:D121)</f>
        <v>3656.4898046757303</v>
      </c>
    </row>
    <row r="123" spans="1:10" s="71" customFormat="1" ht="14.25" customHeight="1" thickBot="1">
      <c r="A123" s="12" t="s">
        <v>46</v>
      </c>
      <c r="B123" s="170" t="s">
        <v>99</v>
      </c>
      <c r="C123" s="148"/>
      <c r="D123" s="42">
        <f>D113</f>
        <v>746.24999999999989</v>
      </c>
    </row>
    <row r="124" spans="1:10" s="71" customFormat="1" ht="14.25" customHeight="1" thickBot="1">
      <c r="A124" s="173" t="s">
        <v>140</v>
      </c>
      <c r="B124" s="150"/>
      <c r="C124" s="148"/>
      <c r="D124" s="45">
        <f>ROUND((SUM(D122:D123)),2)</f>
        <v>4402.74</v>
      </c>
      <c r="F124" s="43"/>
      <c r="J124" s="60">
        <f>D124*2</f>
        <v>8805.48</v>
      </c>
    </row>
    <row r="125" spans="1:10" s="71" customFormat="1" ht="15" customHeight="1">
      <c r="A125" s="37"/>
      <c r="B125" s="37"/>
      <c r="C125" s="37"/>
      <c r="D125" s="38"/>
    </row>
    <row r="126" spans="1:10" s="71" customFormat="1" ht="15" customHeight="1">
      <c r="A126" s="174"/>
      <c r="B126" s="175"/>
      <c r="C126" s="175"/>
      <c r="D126" s="175"/>
      <c r="E126" s="176"/>
      <c r="J126" s="46">
        <f>12827.7-J124</f>
        <v>4022.2200000000012</v>
      </c>
    </row>
    <row r="127" spans="1:10" s="68" customFormat="1" ht="15" customHeight="1">
      <c r="A127" s="31"/>
      <c r="B127" s="31"/>
      <c r="C127" s="31"/>
      <c r="D127" s="31"/>
      <c r="E127" s="31"/>
      <c r="I127" s="43">
        <f>I126/2</f>
        <v>0</v>
      </c>
    </row>
    <row r="128" spans="1:10" s="68" customFormat="1" ht="15" customHeight="1">
      <c r="A128" s="31"/>
      <c r="B128" s="31"/>
      <c r="C128" s="31"/>
      <c r="D128" s="31"/>
      <c r="E128" s="31"/>
    </row>
    <row r="129" spans="1:8" s="68" customFormat="1" ht="15" customHeight="1">
      <c r="A129" s="32"/>
      <c r="B129" s="31"/>
      <c r="C129" s="31"/>
      <c r="D129" s="31"/>
      <c r="E129" s="31"/>
    </row>
    <row r="130" spans="1:8" s="68" customFormat="1" ht="15" customHeight="1">
      <c r="A130" s="32"/>
      <c r="B130" s="31"/>
      <c r="C130" s="31"/>
      <c r="D130" s="31"/>
      <c r="E130" s="31"/>
    </row>
    <row r="131" spans="1:8" s="68" customFormat="1" ht="15" customHeight="1">
      <c r="A131" s="32"/>
      <c r="B131" s="31"/>
      <c r="C131" s="31"/>
      <c r="D131" s="31"/>
      <c r="E131" s="31"/>
    </row>
    <row r="132" spans="1:8" s="1" customFormat="1"/>
    <row r="133" spans="1:8" s="1" customFormat="1"/>
    <row r="134" spans="1:8" s="1" customFormat="1"/>
    <row r="135" spans="1:8" s="1" customFormat="1"/>
    <row r="136" spans="1:8" s="1" customFormat="1">
      <c r="D136" s="53">
        <f>D124*2</f>
        <v>8805.48</v>
      </c>
    </row>
    <row r="137" spans="1:8" s="1" customFormat="1">
      <c r="D137" s="53">
        <f>D136/2</f>
        <v>4402.74</v>
      </c>
    </row>
    <row r="138" spans="1:8">
      <c r="H138" s="49">
        <f>D124*2</f>
        <v>8805.48</v>
      </c>
    </row>
    <row r="141" spans="1:8">
      <c r="H141" s="49">
        <f>12827.7-D136</f>
        <v>4022.2200000000012</v>
      </c>
    </row>
  </sheetData>
  <mergeCells count="95">
    <mergeCell ref="C7:D7"/>
    <mergeCell ref="A1:D1"/>
    <mergeCell ref="A3:D3"/>
    <mergeCell ref="C4:D4"/>
    <mergeCell ref="C5:D5"/>
    <mergeCell ref="C6:D6"/>
    <mergeCell ref="B22:C22"/>
    <mergeCell ref="A9:D9"/>
    <mergeCell ref="A10:B10"/>
    <mergeCell ref="A11:B11"/>
    <mergeCell ref="C13:D13"/>
    <mergeCell ref="C14:D14"/>
    <mergeCell ref="C15:D15"/>
    <mergeCell ref="C16:D16"/>
    <mergeCell ref="C17:D17"/>
    <mergeCell ref="A19:D19"/>
    <mergeCell ref="B20:C20"/>
    <mergeCell ref="B21:C21"/>
    <mergeCell ref="A35:C35"/>
    <mergeCell ref="B23:C23"/>
    <mergeCell ref="B24:C24"/>
    <mergeCell ref="B25:C25"/>
    <mergeCell ref="B26:C26"/>
    <mergeCell ref="B27:C27"/>
    <mergeCell ref="A28:C28"/>
    <mergeCell ref="A30:D30"/>
    <mergeCell ref="A31:D31"/>
    <mergeCell ref="B32:C32"/>
    <mergeCell ref="B33:C33"/>
    <mergeCell ref="B34:C34"/>
    <mergeCell ref="B59:C59"/>
    <mergeCell ref="A37:D37"/>
    <mergeCell ref="A47:B47"/>
    <mergeCell ref="A49:D49"/>
    <mergeCell ref="B50:C50"/>
    <mergeCell ref="B51:C51"/>
    <mergeCell ref="B52:C52"/>
    <mergeCell ref="B53:C53"/>
    <mergeCell ref="B54:C54"/>
    <mergeCell ref="B55:C55"/>
    <mergeCell ref="A56:C56"/>
    <mergeCell ref="A58:D58"/>
    <mergeCell ref="B72:C72"/>
    <mergeCell ref="B60:C60"/>
    <mergeCell ref="B61:C61"/>
    <mergeCell ref="B62:C62"/>
    <mergeCell ref="A63:C63"/>
    <mergeCell ref="A65:D65"/>
    <mergeCell ref="B66:C66"/>
    <mergeCell ref="B67:C67"/>
    <mergeCell ref="B68:C68"/>
    <mergeCell ref="B69:C69"/>
    <mergeCell ref="B70:C70"/>
    <mergeCell ref="B71:C71"/>
    <mergeCell ref="A86:D86"/>
    <mergeCell ref="A73:C73"/>
    <mergeCell ref="A75:D75"/>
    <mergeCell ref="A76:D76"/>
    <mergeCell ref="B77:C77"/>
    <mergeCell ref="B78:C78"/>
    <mergeCell ref="B79:C79"/>
    <mergeCell ref="B80:C80"/>
    <mergeCell ref="B81:C81"/>
    <mergeCell ref="B82:C82"/>
    <mergeCell ref="B83:C83"/>
    <mergeCell ref="A84:C84"/>
    <mergeCell ref="B100:C100"/>
    <mergeCell ref="B87:C87"/>
    <mergeCell ref="B88:C88"/>
    <mergeCell ref="A89:C89"/>
    <mergeCell ref="A91:D91"/>
    <mergeCell ref="B92:C92"/>
    <mergeCell ref="B93:C93"/>
    <mergeCell ref="B94:C94"/>
    <mergeCell ref="A95:C95"/>
    <mergeCell ref="A97:D97"/>
    <mergeCell ref="B98:C98"/>
    <mergeCell ref="B99:C99"/>
    <mergeCell ref="B120:C120"/>
    <mergeCell ref="B101:C101"/>
    <mergeCell ref="B102:C102"/>
    <mergeCell ref="A103:C103"/>
    <mergeCell ref="A105:D105"/>
    <mergeCell ref="B109:D109"/>
    <mergeCell ref="A113:B113"/>
    <mergeCell ref="A115:D115"/>
    <mergeCell ref="B116:C116"/>
    <mergeCell ref="B117:C117"/>
    <mergeCell ref="B118:C118"/>
    <mergeCell ref="B119:C119"/>
    <mergeCell ref="B121:C121"/>
    <mergeCell ref="A122:C122"/>
    <mergeCell ref="B123:C123"/>
    <mergeCell ref="A124:C124"/>
    <mergeCell ref="A126:E126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L28" sqref="L28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showGridLines="0" topLeftCell="A91" zoomScaleNormal="100" workbookViewId="0">
      <selection activeCell="C7" sqref="C7:D7"/>
    </sheetView>
  </sheetViews>
  <sheetFormatPr defaultColWidth="12.625" defaultRowHeight="15" customHeight="1"/>
  <cols>
    <col min="1" max="1" width="8" style="35" customWidth="1"/>
    <col min="2" max="2" width="49.5" style="35" customWidth="1"/>
    <col min="3" max="3" width="15.5" style="35" customWidth="1"/>
    <col min="4" max="4" width="12.5" style="35" customWidth="1"/>
    <col min="5" max="16384" width="12.625" style="35"/>
  </cols>
  <sheetData>
    <row r="1" spans="1:4" s="50" customFormat="1" ht="14.25" customHeight="1">
      <c r="A1" s="156"/>
      <c r="B1" s="157"/>
      <c r="C1" s="157"/>
      <c r="D1" s="157"/>
    </row>
    <row r="2" spans="1:4" s="50" customFormat="1" ht="14.25" customHeight="1">
      <c r="A2" s="51"/>
      <c r="B2" s="51"/>
      <c r="C2" s="51"/>
      <c r="D2" s="51"/>
    </row>
    <row r="3" spans="1:4" s="50" customFormat="1" ht="14.25" customHeight="1" thickBot="1">
      <c r="A3" s="143" t="s">
        <v>0</v>
      </c>
      <c r="B3" s="144"/>
      <c r="C3" s="144"/>
      <c r="D3" s="144"/>
    </row>
    <row r="4" spans="1:4" s="50" customFormat="1" ht="14.25" customHeight="1" thickBot="1">
      <c r="A4" s="9" t="s">
        <v>1</v>
      </c>
      <c r="B4" s="10" t="s">
        <v>2</v>
      </c>
      <c r="C4" s="158">
        <f>ASG!C4</f>
        <v>44692</v>
      </c>
      <c r="D4" s="163"/>
    </row>
    <row r="5" spans="1:4" s="50" customFormat="1" ht="14.25" customHeight="1" thickBot="1">
      <c r="A5" s="9" t="s">
        <v>3</v>
      </c>
      <c r="B5" s="10" t="s">
        <v>4</v>
      </c>
      <c r="C5" s="158" t="str">
        <f>ASG!C5</f>
        <v>Recife / PE</v>
      </c>
      <c r="D5" s="163"/>
    </row>
    <row r="6" spans="1:4" s="50" customFormat="1" ht="14.25" customHeight="1" thickBot="1">
      <c r="A6" s="9" t="s">
        <v>5</v>
      </c>
      <c r="B6" s="10" t="s">
        <v>6</v>
      </c>
      <c r="C6" s="154" t="str">
        <f>ASG!C6</f>
        <v>PE000089/2022</v>
      </c>
      <c r="D6" s="148"/>
    </row>
    <row r="7" spans="1:4" s="50" customFormat="1" ht="14.25" customHeight="1" thickBot="1">
      <c r="A7" s="9" t="s">
        <v>7</v>
      </c>
      <c r="B7" s="10" t="s">
        <v>8</v>
      </c>
      <c r="C7" s="154">
        <v>6</v>
      </c>
      <c r="D7" s="148"/>
    </row>
    <row r="8" spans="1:4" s="50" customFormat="1" ht="14.25" customHeight="1">
      <c r="A8" s="51"/>
      <c r="B8" s="51"/>
      <c r="C8" s="51"/>
      <c r="D8" s="51"/>
    </row>
    <row r="9" spans="1:4" s="50" customFormat="1" ht="14.25" customHeight="1" thickBot="1">
      <c r="A9" s="143" t="s">
        <v>9</v>
      </c>
      <c r="B9" s="144"/>
      <c r="C9" s="144"/>
      <c r="D9" s="144"/>
    </row>
    <row r="10" spans="1:4" s="50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s="50" customFormat="1" ht="14.25" customHeight="1" thickBot="1">
      <c r="A11" s="179" t="s">
        <v>122</v>
      </c>
      <c r="B11" s="148"/>
      <c r="C11" s="9" t="s">
        <v>141</v>
      </c>
      <c r="D11" s="9">
        <v>1</v>
      </c>
    </row>
    <row r="12" spans="1:4" s="50" customFormat="1" ht="14.25" customHeight="1" thickBot="1">
      <c r="A12" s="51"/>
      <c r="B12" s="51"/>
      <c r="C12" s="51"/>
      <c r="D12" s="51"/>
    </row>
    <row r="13" spans="1:4" s="50" customFormat="1" ht="14.25" customHeight="1" thickBot="1">
      <c r="A13" s="9">
        <v>1</v>
      </c>
      <c r="B13" s="10" t="s">
        <v>14</v>
      </c>
      <c r="C13" s="154" t="str">
        <f>A11</f>
        <v>Copeiragem</v>
      </c>
      <c r="D13" s="148"/>
    </row>
    <row r="14" spans="1:4" s="50" customFormat="1" ht="14.25" customHeight="1" thickBot="1">
      <c r="A14" s="9">
        <v>2</v>
      </c>
      <c r="B14" s="10" t="s">
        <v>15</v>
      </c>
      <c r="C14" s="179" t="s">
        <v>108</v>
      </c>
      <c r="D14" s="148"/>
    </row>
    <row r="15" spans="1:4" s="50" customFormat="1" ht="14.25" customHeight="1" thickBot="1">
      <c r="A15" s="9">
        <v>3</v>
      </c>
      <c r="B15" s="10" t="s">
        <v>16</v>
      </c>
      <c r="C15" s="160">
        <f>ASG!C15</f>
        <v>0</v>
      </c>
      <c r="D15" s="161"/>
    </row>
    <row r="16" spans="1:4" s="50" customFormat="1" ht="14.25" customHeight="1" thickBot="1">
      <c r="A16" s="9">
        <v>4</v>
      </c>
      <c r="B16" s="10" t="s">
        <v>17</v>
      </c>
      <c r="C16" s="154" t="s">
        <v>104</v>
      </c>
      <c r="D16" s="148"/>
    </row>
    <row r="17" spans="1:4" s="50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4" s="50" customFormat="1" ht="14.25" customHeight="1">
      <c r="A18" s="51"/>
      <c r="B18" s="51"/>
      <c r="C18" s="51"/>
      <c r="D18" s="51"/>
    </row>
    <row r="19" spans="1:4" s="50" customFormat="1" ht="14.25" customHeight="1" thickBot="1">
      <c r="A19" s="143" t="s">
        <v>19</v>
      </c>
      <c r="B19" s="144"/>
      <c r="C19" s="144"/>
      <c r="D19" s="144"/>
    </row>
    <row r="20" spans="1:4" s="50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4" s="50" customFormat="1" ht="14.25" customHeight="1" thickBot="1">
      <c r="A21" s="14" t="s">
        <v>1</v>
      </c>
      <c r="B21" s="141" t="s">
        <v>22</v>
      </c>
      <c r="C21" s="142"/>
      <c r="D21" s="41">
        <f>C15</f>
        <v>0</v>
      </c>
    </row>
    <row r="22" spans="1:4" s="50" customFormat="1" ht="14.25" customHeight="1" thickBot="1">
      <c r="A22" s="14" t="s">
        <v>3</v>
      </c>
      <c r="B22" s="141" t="s">
        <v>23</v>
      </c>
      <c r="C22" s="142"/>
      <c r="D22" s="41"/>
    </row>
    <row r="23" spans="1:4" s="50" customFormat="1" ht="14.25" customHeight="1" thickBot="1">
      <c r="A23" s="14" t="s">
        <v>5</v>
      </c>
      <c r="B23" s="141" t="s">
        <v>24</v>
      </c>
      <c r="C23" s="142"/>
      <c r="D23" s="41"/>
    </row>
    <row r="24" spans="1:4" s="50" customFormat="1" ht="14.25" customHeight="1" thickBot="1">
      <c r="A24" s="14" t="s">
        <v>7</v>
      </c>
      <c r="B24" s="141" t="s">
        <v>25</v>
      </c>
      <c r="C24" s="142"/>
      <c r="D24" s="41"/>
    </row>
    <row r="25" spans="1:4" s="50" customFormat="1" ht="14.25" customHeight="1" thickBot="1">
      <c r="A25" s="14" t="s">
        <v>26</v>
      </c>
      <c r="B25" s="141" t="s">
        <v>27</v>
      </c>
      <c r="C25" s="142"/>
      <c r="D25" s="41"/>
    </row>
    <row r="26" spans="1:4" s="50" customFormat="1" ht="14.25" customHeight="1" thickBot="1">
      <c r="A26" s="14"/>
      <c r="B26" s="141"/>
      <c r="C26" s="142"/>
      <c r="D26" s="41"/>
    </row>
    <row r="27" spans="1:4" s="50" customFormat="1" ht="14.25" customHeight="1" thickBot="1">
      <c r="A27" s="14" t="s">
        <v>28</v>
      </c>
      <c r="B27" s="153" t="s">
        <v>29</v>
      </c>
      <c r="C27" s="142"/>
      <c r="D27" s="41"/>
    </row>
    <row r="28" spans="1:4" s="50" customFormat="1" ht="14.25" customHeight="1" thickBot="1">
      <c r="A28" s="147" t="s">
        <v>30</v>
      </c>
      <c r="B28" s="150"/>
      <c r="C28" s="148"/>
      <c r="D28" s="42">
        <f>SUM(D21:D27)</f>
        <v>0</v>
      </c>
    </row>
    <row r="29" spans="1:4" s="50" customFormat="1" ht="14.25" customHeight="1">
      <c r="A29" s="51"/>
      <c r="B29" s="51"/>
      <c r="C29" s="51"/>
      <c r="D29" s="51"/>
    </row>
    <row r="30" spans="1:4" s="50" customFormat="1" ht="14.25" customHeight="1">
      <c r="A30" s="143" t="s">
        <v>31</v>
      </c>
      <c r="B30" s="144"/>
      <c r="C30" s="144"/>
      <c r="D30" s="144"/>
    </row>
    <row r="31" spans="1:4" s="50" customFormat="1" ht="14.25" customHeight="1" thickBot="1">
      <c r="A31" s="151" t="s">
        <v>32</v>
      </c>
      <c r="B31" s="144"/>
      <c r="C31" s="144"/>
      <c r="D31" s="144"/>
    </row>
    <row r="32" spans="1:4" s="50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50" customFormat="1" ht="14.25" customHeight="1" thickBot="1">
      <c r="A33" s="14" t="s">
        <v>1</v>
      </c>
      <c r="B33" s="141" t="s">
        <v>35</v>
      </c>
      <c r="C33" s="142"/>
      <c r="D33" s="42">
        <f>D28*8.33%</f>
        <v>0</v>
      </c>
    </row>
    <row r="34" spans="1:7" s="50" customFormat="1" ht="14.25" customHeight="1" thickBot="1">
      <c r="A34" s="14" t="s">
        <v>3</v>
      </c>
      <c r="B34" s="153" t="s">
        <v>36</v>
      </c>
      <c r="C34" s="142"/>
      <c r="D34" s="42">
        <f>D28*12.1%</f>
        <v>0</v>
      </c>
    </row>
    <row r="35" spans="1:7" s="50" customFormat="1" ht="14.25" customHeight="1" thickBot="1">
      <c r="A35" s="147" t="s">
        <v>30</v>
      </c>
      <c r="B35" s="150"/>
      <c r="C35" s="148"/>
      <c r="D35" s="42">
        <f>SUM(D33:D34)</f>
        <v>0</v>
      </c>
    </row>
    <row r="36" spans="1:7" s="50" customFormat="1" ht="14.25" customHeight="1">
      <c r="A36" s="51"/>
      <c r="B36" s="51"/>
      <c r="C36" s="51"/>
      <c r="D36" s="51"/>
    </row>
    <row r="37" spans="1:7" s="50" customFormat="1" ht="32.25" customHeight="1" thickBot="1">
      <c r="A37" s="171" t="s">
        <v>37</v>
      </c>
      <c r="B37" s="144"/>
      <c r="C37" s="144"/>
      <c r="D37" s="144"/>
    </row>
    <row r="38" spans="1:7" s="50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50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0</v>
      </c>
      <c r="G39" s="46">
        <f>D35+D28</f>
        <v>0</v>
      </c>
    </row>
    <row r="40" spans="1:7" s="50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0</v>
      </c>
    </row>
    <row r="41" spans="1:7" s="50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0</v>
      </c>
    </row>
    <row r="42" spans="1:7" s="50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0</v>
      </c>
    </row>
    <row r="43" spans="1:7" s="50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0</v>
      </c>
    </row>
    <row r="44" spans="1:7" s="50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0</v>
      </c>
    </row>
    <row r="45" spans="1:7" s="50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0</v>
      </c>
    </row>
    <row r="46" spans="1:7" s="50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0</v>
      </c>
    </row>
    <row r="47" spans="1:7" s="50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0</v>
      </c>
    </row>
    <row r="48" spans="1:7" s="50" customFormat="1" ht="14.25" customHeight="1">
      <c r="A48" s="51"/>
      <c r="B48" s="51"/>
      <c r="C48" s="51"/>
      <c r="D48" s="51"/>
    </row>
    <row r="49" spans="1:4" s="50" customFormat="1" ht="14.25" customHeight="1" thickBot="1">
      <c r="A49" s="172" t="s">
        <v>52</v>
      </c>
      <c r="B49" s="144"/>
      <c r="C49" s="144"/>
      <c r="D49" s="144"/>
    </row>
    <row r="50" spans="1:4" s="50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50" customFormat="1" ht="14.25" customHeight="1" thickBot="1">
      <c r="A51" s="14" t="s">
        <v>1</v>
      </c>
      <c r="B51" s="165" t="s">
        <v>55</v>
      </c>
      <c r="C51" s="148"/>
      <c r="D51" s="41">
        <f>(ASG!H52*2*22)-(D21*6%)</f>
        <v>213.39999999999998</v>
      </c>
    </row>
    <row r="52" spans="1:4" s="50" customFormat="1" ht="14.25" customHeight="1" thickBot="1">
      <c r="A52" s="14" t="s">
        <v>3</v>
      </c>
      <c r="B52" s="165" t="s">
        <v>56</v>
      </c>
      <c r="C52" s="148"/>
      <c r="D52" s="44">
        <f>(8.42*22)*80%</f>
        <v>148.19200000000001</v>
      </c>
    </row>
    <row r="53" spans="1:4" s="50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50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50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</f>
        <v>0</v>
      </c>
    </row>
    <row r="56" spans="1:4" s="50" customFormat="1" ht="14.25" customHeight="1" thickBot="1">
      <c r="A56" s="147" t="s">
        <v>30</v>
      </c>
      <c r="B56" s="150"/>
      <c r="C56" s="148"/>
      <c r="D56" s="41">
        <f>SUM(D51:D55)</f>
        <v>361.59199999999998</v>
      </c>
    </row>
    <row r="57" spans="1:4" s="50" customFormat="1" ht="14.25" customHeight="1">
      <c r="A57" s="51"/>
      <c r="B57" s="51"/>
      <c r="C57" s="51"/>
      <c r="D57" s="51"/>
    </row>
    <row r="58" spans="1:4" s="50" customFormat="1" ht="14.25" customHeight="1" thickBot="1">
      <c r="A58" s="151" t="s">
        <v>57</v>
      </c>
      <c r="B58" s="144"/>
      <c r="C58" s="144"/>
      <c r="D58" s="144"/>
    </row>
    <row r="59" spans="1:4" s="50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4" s="50" customFormat="1" ht="14.25" customHeight="1" thickBot="1">
      <c r="A60" s="14" t="s">
        <v>33</v>
      </c>
      <c r="B60" s="165" t="s">
        <v>34</v>
      </c>
      <c r="C60" s="148"/>
      <c r="D60" s="41">
        <f>D35</f>
        <v>0</v>
      </c>
    </row>
    <row r="61" spans="1:4" s="50" customFormat="1" ht="14.25" customHeight="1" thickBot="1">
      <c r="A61" s="14" t="s">
        <v>38</v>
      </c>
      <c r="B61" s="165" t="s">
        <v>39</v>
      </c>
      <c r="C61" s="148"/>
      <c r="D61" s="41">
        <f>D47</f>
        <v>0</v>
      </c>
    </row>
    <row r="62" spans="1:4" s="50" customFormat="1" ht="14.25" customHeight="1" thickBot="1">
      <c r="A62" s="22" t="s">
        <v>53</v>
      </c>
      <c r="B62" s="170" t="s">
        <v>54</v>
      </c>
      <c r="C62" s="148"/>
      <c r="D62" s="41">
        <f>D56</f>
        <v>361.59199999999998</v>
      </c>
    </row>
    <row r="63" spans="1:4" s="50" customFormat="1" ht="14.25" customHeight="1" thickBot="1">
      <c r="A63" s="147" t="s">
        <v>30</v>
      </c>
      <c r="B63" s="150"/>
      <c r="C63" s="148"/>
      <c r="D63" s="41">
        <f>SUM(D60:D62)</f>
        <v>361.59199999999998</v>
      </c>
    </row>
    <row r="64" spans="1:4" s="50" customFormat="1" ht="14.25" customHeight="1">
      <c r="A64" s="6"/>
      <c r="B64" s="51"/>
      <c r="C64" s="51"/>
      <c r="D64" s="51"/>
    </row>
    <row r="65" spans="1:7" s="50" customFormat="1" ht="14.25" customHeight="1" thickBot="1">
      <c r="A65" s="143" t="s">
        <v>59</v>
      </c>
      <c r="B65" s="144"/>
      <c r="C65" s="144"/>
      <c r="D65" s="144"/>
    </row>
    <row r="66" spans="1:7" s="50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50" customFormat="1" ht="14.25" customHeight="1" thickBot="1">
      <c r="A67" s="14" t="s">
        <v>1</v>
      </c>
      <c r="B67" s="141" t="s">
        <v>61</v>
      </c>
      <c r="C67" s="142"/>
      <c r="D67" s="41">
        <f>$D$28*0.46%</f>
        <v>0</v>
      </c>
    </row>
    <row r="68" spans="1:7" s="50" customFormat="1" ht="14.25" customHeight="1" thickBot="1">
      <c r="A68" s="14" t="s">
        <v>3</v>
      </c>
      <c r="B68" s="141" t="s">
        <v>62</v>
      </c>
      <c r="C68" s="142"/>
      <c r="D68" s="41">
        <f>D67*C46</f>
        <v>0</v>
      </c>
    </row>
    <row r="69" spans="1:7" s="50" customFormat="1" ht="14.25" customHeight="1" thickBot="1">
      <c r="A69" s="14" t="s">
        <v>5</v>
      </c>
      <c r="B69" s="152" t="s">
        <v>63</v>
      </c>
      <c r="C69" s="142"/>
      <c r="D69" s="41">
        <f>D67*8%*40%</f>
        <v>0</v>
      </c>
    </row>
    <row r="70" spans="1:7" s="50" customFormat="1" ht="14.25" customHeight="1" thickBot="1">
      <c r="A70" s="14" t="s">
        <v>7</v>
      </c>
      <c r="B70" s="141" t="s">
        <v>64</v>
      </c>
      <c r="C70" s="142"/>
      <c r="D70" s="41">
        <f>$D$28*1.94%</f>
        <v>0</v>
      </c>
    </row>
    <row r="71" spans="1:7" s="50" customFormat="1" ht="14.25" customHeight="1" thickBot="1">
      <c r="A71" s="23" t="s">
        <v>26</v>
      </c>
      <c r="B71" s="168" t="s">
        <v>65</v>
      </c>
      <c r="C71" s="169"/>
      <c r="D71" s="41">
        <f>D70*C47</f>
        <v>0</v>
      </c>
    </row>
    <row r="72" spans="1:7" s="50" customFormat="1" ht="14.25" customHeight="1" thickBot="1">
      <c r="A72" s="22" t="s">
        <v>46</v>
      </c>
      <c r="B72" s="167" t="s">
        <v>66</v>
      </c>
      <c r="C72" s="148"/>
      <c r="D72" s="41">
        <f>$D$28*3.2%</f>
        <v>0</v>
      </c>
    </row>
    <row r="73" spans="1:7" s="50" customFormat="1" ht="14.25" customHeight="1" thickBot="1">
      <c r="A73" s="147" t="s">
        <v>30</v>
      </c>
      <c r="B73" s="150"/>
      <c r="C73" s="148"/>
      <c r="D73" s="42">
        <f>SUM(D67:D72)</f>
        <v>0</v>
      </c>
    </row>
    <row r="74" spans="1:7" s="50" customFormat="1" ht="14.25" customHeight="1">
      <c r="A74" s="51"/>
      <c r="B74" s="51"/>
      <c r="C74" s="51"/>
      <c r="D74" s="51"/>
    </row>
    <row r="75" spans="1:7" s="50" customFormat="1" ht="14.25" customHeight="1">
      <c r="A75" s="143" t="s">
        <v>67</v>
      </c>
      <c r="B75" s="144"/>
      <c r="C75" s="144"/>
      <c r="D75" s="144"/>
    </row>
    <row r="76" spans="1:7" s="50" customFormat="1" ht="14.25" customHeight="1" thickBot="1">
      <c r="A76" s="151" t="s">
        <v>68</v>
      </c>
      <c r="B76" s="144"/>
      <c r="C76" s="144"/>
      <c r="D76" s="144"/>
    </row>
    <row r="77" spans="1:7" s="50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50" customFormat="1" ht="14.25" customHeight="1" thickBot="1">
      <c r="A78" s="14" t="s">
        <v>1</v>
      </c>
      <c r="B78" s="152" t="s">
        <v>71</v>
      </c>
      <c r="C78" s="142"/>
      <c r="D78" s="41">
        <f>D28*1.62%</f>
        <v>0</v>
      </c>
      <c r="G78" s="43">
        <f>D28+D63+D73</f>
        <v>361.59199999999998</v>
      </c>
    </row>
    <row r="79" spans="1:7" s="50" customFormat="1" ht="14.25" customHeight="1" thickBot="1">
      <c r="A79" s="14" t="s">
        <v>3</v>
      </c>
      <c r="B79" s="152" t="s">
        <v>72</v>
      </c>
      <c r="C79" s="142"/>
      <c r="D79" s="41">
        <f>D28*0.28%</f>
        <v>0</v>
      </c>
    </row>
    <row r="80" spans="1:7" s="50" customFormat="1" ht="14.25" customHeight="1" thickBot="1">
      <c r="A80" s="14" t="s">
        <v>5</v>
      </c>
      <c r="B80" s="152" t="s">
        <v>73</v>
      </c>
      <c r="C80" s="142"/>
      <c r="D80" s="41">
        <f>D28*0.08%</f>
        <v>0</v>
      </c>
    </row>
    <row r="81" spans="1:4" s="50" customFormat="1" ht="14.25" customHeight="1" thickBot="1">
      <c r="A81" s="14" t="s">
        <v>7</v>
      </c>
      <c r="B81" s="141" t="s">
        <v>74</v>
      </c>
      <c r="C81" s="142"/>
      <c r="D81" s="41">
        <f>D28*0.27%</f>
        <v>0</v>
      </c>
    </row>
    <row r="82" spans="1:4" s="50" customFormat="1" ht="14.25" customHeight="1" thickBot="1">
      <c r="A82" s="14" t="s">
        <v>26</v>
      </c>
      <c r="B82" s="177" t="s">
        <v>75</v>
      </c>
      <c r="C82" s="142"/>
      <c r="D82" s="41">
        <f>D28*0.03%</f>
        <v>0</v>
      </c>
    </row>
    <row r="83" spans="1:4" s="50" customFormat="1" ht="14.25" customHeight="1" thickBot="1">
      <c r="A83" s="14" t="s">
        <v>46</v>
      </c>
      <c r="B83" s="178" t="s">
        <v>76</v>
      </c>
      <c r="C83" s="142"/>
      <c r="D83" s="41"/>
    </row>
    <row r="84" spans="1:4" s="50" customFormat="1" ht="14.25" customHeight="1" thickBot="1">
      <c r="A84" s="147" t="s">
        <v>51</v>
      </c>
      <c r="B84" s="150"/>
      <c r="C84" s="148"/>
      <c r="D84" s="41">
        <f>SUM(D78:D83)</f>
        <v>0</v>
      </c>
    </row>
    <row r="85" spans="1:4" s="50" customFormat="1" ht="14.25" customHeight="1">
      <c r="A85" s="51"/>
      <c r="B85" s="51"/>
      <c r="C85" s="51"/>
      <c r="D85" s="51"/>
    </row>
    <row r="86" spans="1:4" s="50" customFormat="1" ht="14.25" customHeight="1" thickBot="1">
      <c r="A86" s="151" t="s">
        <v>77</v>
      </c>
      <c r="B86" s="144"/>
      <c r="C86" s="144"/>
      <c r="D86" s="144"/>
    </row>
    <row r="87" spans="1:4" s="50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4" s="50" customFormat="1" ht="14.25" customHeight="1" thickBot="1">
      <c r="A88" s="14" t="s">
        <v>1</v>
      </c>
      <c r="B88" s="153" t="s">
        <v>80</v>
      </c>
      <c r="C88" s="142"/>
      <c r="D88" s="41">
        <v>0</v>
      </c>
    </row>
    <row r="89" spans="1:4" s="50" customFormat="1" ht="14.25" customHeight="1" thickBot="1">
      <c r="A89" s="147" t="s">
        <v>30</v>
      </c>
      <c r="B89" s="150"/>
      <c r="C89" s="148"/>
      <c r="D89" s="42">
        <f>D88</f>
        <v>0</v>
      </c>
    </row>
    <row r="90" spans="1:4" s="50" customFormat="1" ht="14.25" customHeight="1">
      <c r="A90" s="51"/>
      <c r="B90" s="51"/>
      <c r="C90" s="51"/>
      <c r="D90" s="51"/>
    </row>
    <row r="91" spans="1:4" s="50" customFormat="1" ht="14.25" customHeight="1" thickBot="1">
      <c r="A91" s="151" t="s">
        <v>81</v>
      </c>
      <c r="B91" s="144"/>
      <c r="C91" s="144"/>
      <c r="D91" s="144"/>
    </row>
    <row r="92" spans="1:4" s="50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4" s="50" customFormat="1" ht="14.25" customHeight="1" thickBot="1">
      <c r="A93" s="14" t="s">
        <v>69</v>
      </c>
      <c r="B93" s="141" t="s">
        <v>70</v>
      </c>
      <c r="C93" s="142"/>
      <c r="D93" s="41">
        <f>D84</f>
        <v>0</v>
      </c>
    </row>
    <row r="94" spans="1:4" s="50" customFormat="1" ht="14.25" customHeight="1" thickBot="1">
      <c r="A94" s="14" t="s">
        <v>78</v>
      </c>
      <c r="B94" s="153" t="s">
        <v>79</v>
      </c>
      <c r="C94" s="142"/>
      <c r="D94" s="41">
        <f>D89</f>
        <v>0</v>
      </c>
    </row>
    <row r="95" spans="1:4" s="50" customFormat="1" ht="14.25" customHeight="1" thickBot="1">
      <c r="A95" s="147" t="s">
        <v>30</v>
      </c>
      <c r="B95" s="150"/>
      <c r="C95" s="148"/>
      <c r="D95" s="41">
        <f>SUM(D93:D94)</f>
        <v>0</v>
      </c>
    </row>
    <row r="96" spans="1:4" s="50" customFormat="1" ht="14.25" customHeight="1">
      <c r="A96" s="51"/>
      <c r="B96" s="51"/>
      <c r="C96" s="51"/>
      <c r="D96" s="51"/>
    </row>
    <row r="97" spans="1:8" s="50" customFormat="1" ht="14.25" customHeight="1" thickBot="1">
      <c r="A97" s="143" t="s">
        <v>83</v>
      </c>
      <c r="B97" s="144"/>
      <c r="C97" s="144"/>
      <c r="D97" s="144"/>
    </row>
    <row r="98" spans="1:8" s="50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50" customFormat="1" ht="14.25" customHeight="1" thickBot="1">
      <c r="A99" s="14" t="s">
        <v>1</v>
      </c>
      <c r="B99" s="141" t="s">
        <v>85</v>
      </c>
      <c r="C99" s="142"/>
      <c r="D99" s="44">
        <f>ASG!D99+12</f>
        <v>12</v>
      </c>
    </row>
    <row r="100" spans="1:8" s="50" customFormat="1" ht="14.25" customHeight="1" thickBot="1">
      <c r="A100" s="14" t="s">
        <v>3</v>
      </c>
      <c r="B100" s="153" t="s">
        <v>86</v>
      </c>
      <c r="C100" s="142"/>
      <c r="D100" s="42" t="e">
        <f>MATERIAIS!#REF!</f>
        <v>#REF!</v>
      </c>
    </row>
    <row r="101" spans="1:8" s="50" customFormat="1" ht="14.25" customHeight="1" thickBot="1">
      <c r="A101" s="22" t="s">
        <v>5</v>
      </c>
      <c r="B101" s="170" t="s">
        <v>102</v>
      </c>
      <c r="C101" s="148"/>
      <c r="D101" s="42">
        <v>15</v>
      </c>
    </row>
    <row r="102" spans="1:8" s="50" customFormat="1" ht="14.25" customHeight="1" thickBot="1">
      <c r="A102" s="22" t="s">
        <v>7</v>
      </c>
      <c r="B102" s="167"/>
      <c r="C102" s="148"/>
      <c r="D102" s="42"/>
    </row>
    <row r="103" spans="1:8" s="50" customFormat="1" ht="14.25" customHeight="1" thickBot="1">
      <c r="A103" s="147" t="s">
        <v>51</v>
      </c>
      <c r="B103" s="150"/>
      <c r="C103" s="148"/>
      <c r="D103" s="42" t="e">
        <f>SUM(D99:D102)</f>
        <v>#REF!</v>
      </c>
    </row>
    <row r="104" spans="1:8" s="50" customFormat="1" ht="14.25" customHeight="1">
      <c r="A104" s="51"/>
      <c r="B104" s="51"/>
      <c r="C104" s="51"/>
      <c r="D104" s="51"/>
    </row>
    <row r="105" spans="1:8" s="50" customFormat="1" ht="14.25" customHeight="1" thickBot="1">
      <c r="A105" s="143" t="s">
        <v>88</v>
      </c>
      <c r="B105" s="144"/>
      <c r="C105" s="144"/>
      <c r="D105" s="144"/>
    </row>
    <row r="106" spans="1:8" s="50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50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 t="e">
        <f>ROUND((G107*C107),2)</f>
        <v>#REF!</v>
      </c>
      <c r="G107" s="43" t="e">
        <f>G78+D95+D103</f>
        <v>#REF!</v>
      </c>
    </row>
    <row r="108" spans="1:8" s="50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 t="e">
        <f>ROUND((H108*C108),2)</f>
        <v>#REF!</v>
      </c>
      <c r="H108" s="43" t="e">
        <f>G107+D107</f>
        <v>#REF!</v>
      </c>
    </row>
    <row r="109" spans="1:8" s="50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50" customFormat="1" ht="14.25" customHeight="1" thickBot="1">
      <c r="A110" s="14"/>
      <c r="B110" s="26" t="s">
        <v>94</v>
      </c>
      <c r="C110" s="27">
        <v>3.6499999999999998E-2</v>
      </c>
      <c r="D110" s="41" t="e">
        <f>ROUND((G118*C110),2)</f>
        <v>#REF!</v>
      </c>
    </row>
    <row r="111" spans="1:8" s="50" customFormat="1" ht="14.25" customHeight="1" thickBot="1">
      <c r="A111" s="14"/>
      <c r="B111" s="17" t="s">
        <v>126</v>
      </c>
      <c r="C111" s="27">
        <v>0</v>
      </c>
      <c r="D111" s="41" t="e">
        <f>G118*C111</f>
        <v>#REF!</v>
      </c>
    </row>
    <row r="112" spans="1:8" s="50" customFormat="1" ht="14.25" customHeight="1" thickBot="1">
      <c r="A112" s="14"/>
      <c r="B112" s="26" t="s">
        <v>95</v>
      </c>
      <c r="C112" s="28">
        <v>0.05</v>
      </c>
      <c r="D112" s="41" t="e">
        <f>ROUND((G118*C112),2)</f>
        <v>#REF!</v>
      </c>
    </row>
    <row r="113" spans="1:7" s="50" customFormat="1" ht="14.25" customHeight="1" thickBot="1">
      <c r="A113" s="147" t="s">
        <v>51</v>
      </c>
      <c r="B113" s="148"/>
      <c r="C113" s="29"/>
      <c r="D113" s="45" t="e">
        <f>SUM(D107:D108,D110:D112)</f>
        <v>#REF!</v>
      </c>
    </row>
    <row r="114" spans="1:7" s="50" customFormat="1" ht="14.25" customHeight="1">
      <c r="A114" s="51"/>
      <c r="B114" s="51"/>
      <c r="C114" s="51"/>
      <c r="D114" s="51"/>
    </row>
    <row r="115" spans="1:7" s="50" customFormat="1" ht="14.25" customHeight="1" thickBot="1">
      <c r="A115" s="143" t="s">
        <v>96</v>
      </c>
      <c r="B115" s="144"/>
      <c r="C115" s="144"/>
      <c r="D115" s="144"/>
    </row>
    <row r="116" spans="1:7" s="50" customFormat="1" ht="14.25" customHeight="1" thickBot="1">
      <c r="A116" s="12"/>
      <c r="B116" s="149" t="s">
        <v>97</v>
      </c>
      <c r="C116" s="148"/>
      <c r="D116" s="13" t="s">
        <v>21</v>
      </c>
      <c r="G116" s="43" t="e">
        <f>H108+D108</f>
        <v>#REF!</v>
      </c>
    </row>
    <row r="117" spans="1:7" s="50" customFormat="1" ht="14.25" customHeight="1" thickBot="1">
      <c r="A117" s="30" t="s">
        <v>1</v>
      </c>
      <c r="B117" s="141" t="s">
        <v>19</v>
      </c>
      <c r="C117" s="142"/>
      <c r="D117" s="42">
        <f>D28</f>
        <v>0</v>
      </c>
      <c r="F117" s="50">
        <f>ASG!F121</f>
        <v>0.91349999999999998</v>
      </c>
    </row>
    <row r="118" spans="1:7" s="50" customFormat="1" ht="14.25" customHeight="1" thickBot="1">
      <c r="A118" s="30" t="s">
        <v>3</v>
      </c>
      <c r="B118" s="141" t="s">
        <v>31</v>
      </c>
      <c r="C118" s="142"/>
      <c r="D118" s="42">
        <f>D63</f>
        <v>361.59199999999998</v>
      </c>
      <c r="G118" s="43" t="e">
        <f>ROUND((G116/F117),2)</f>
        <v>#REF!</v>
      </c>
    </row>
    <row r="119" spans="1:7" s="50" customFormat="1" ht="14.25" customHeight="1" thickBot="1">
      <c r="A119" s="30" t="s">
        <v>5</v>
      </c>
      <c r="B119" s="141" t="s">
        <v>59</v>
      </c>
      <c r="C119" s="142"/>
      <c r="D119" s="42">
        <f>D73</f>
        <v>0</v>
      </c>
    </row>
    <row r="120" spans="1:7" s="50" customFormat="1" ht="14.25" customHeight="1" thickBot="1">
      <c r="A120" s="30" t="s">
        <v>7</v>
      </c>
      <c r="B120" s="141" t="s">
        <v>67</v>
      </c>
      <c r="C120" s="142"/>
      <c r="D120" s="42">
        <f>D95</f>
        <v>0</v>
      </c>
    </row>
    <row r="121" spans="1:7" s="50" customFormat="1" ht="14.25" customHeight="1" thickBot="1">
      <c r="A121" s="30" t="s">
        <v>26</v>
      </c>
      <c r="B121" s="153" t="s">
        <v>83</v>
      </c>
      <c r="C121" s="142"/>
      <c r="D121" s="42" t="e">
        <f>D103</f>
        <v>#REF!</v>
      </c>
    </row>
    <row r="122" spans="1:7" s="50" customFormat="1" ht="14.25" customHeight="1" thickBot="1">
      <c r="A122" s="147" t="s">
        <v>98</v>
      </c>
      <c r="B122" s="150"/>
      <c r="C122" s="148"/>
      <c r="D122" s="42" t="e">
        <f>SUM(D117:D121)</f>
        <v>#REF!</v>
      </c>
    </row>
    <row r="123" spans="1:7" s="50" customFormat="1" ht="14.25" customHeight="1" thickBot="1">
      <c r="A123" s="12" t="s">
        <v>46</v>
      </c>
      <c r="B123" s="170" t="s">
        <v>99</v>
      </c>
      <c r="C123" s="148"/>
      <c r="D123" s="42" t="e">
        <f>D113</f>
        <v>#REF!</v>
      </c>
    </row>
    <row r="124" spans="1:7" s="50" customFormat="1" ht="14.25" customHeight="1" thickBot="1">
      <c r="A124" s="173" t="s">
        <v>100</v>
      </c>
      <c r="B124" s="150"/>
      <c r="C124" s="148"/>
      <c r="D124" s="45" t="e">
        <f>ROUND((SUM(D122:D123)),2)</f>
        <v>#REF!</v>
      </c>
      <c r="F124" s="43"/>
    </row>
    <row r="125" spans="1:7" s="50" customFormat="1" ht="15" customHeight="1">
      <c r="A125" s="37"/>
      <c r="B125" s="37"/>
      <c r="C125" s="37"/>
      <c r="D125" s="38"/>
    </row>
    <row r="126" spans="1:7" s="50" customFormat="1" ht="15" customHeight="1">
      <c r="A126" s="174"/>
      <c r="B126" s="175"/>
      <c r="C126" s="175"/>
      <c r="D126" s="175"/>
      <c r="E126" s="176"/>
    </row>
    <row r="127" spans="1:7" s="50" customFormat="1" ht="15" customHeight="1">
      <c r="A127" s="31"/>
      <c r="B127" s="31"/>
      <c r="C127" s="31"/>
      <c r="D127" s="31"/>
      <c r="E127" s="31"/>
    </row>
    <row r="128" spans="1:7" s="50" customFormat="1" ht="15" customHeight="1">
      <c r="A128" s="31"/>
      <c r="B128" s="31"/>
      <c r="C128" s="31"/>
      <c r="D128" s="31"/>
      <c r="E128" s="31"/>
    </row>
    <row r="129" spans="1:5" s="50" customFormat="1" ht="15" customHeight="1">
      <c r="A129" s="32"/>
      <c r="B129" s="31"/>
      <c r="C129" s="31"/>
      <c r="D129" s="31"/>
      <c r="E129" s="31"/>
    </row>
    <row r="130" spans="1:5" s="50" customFormat="1" ht="15" customHeight="1">
      <c r="A130" s="32"/>
      <c r="B130" s="31"/>
      <c r="C130" s="31"/>
      <c r="D130" s="31"/>
      <c r="E130" s="31"/>
    </row>
    <row r="131" spans="1:5" s="50" customFormat="1" ht="15" customHeight="1">
      <c r="A131" s="32"/>
      <c r="B131" s="31"/>
      <c r="C131" s="31"/>
      <c r="D131" s="31"/>
      <c r="E131" s="31"/>
    </row>
    <row r="132" spans="1:5" s="50" customFormat="1" ht="15" customHeight="1">
      <c r="A132" s="32"/>
      <c r="B132" s="31"/>
      <c r="C132" s="31"/>
      <c r="D132" s="31"/>
      <c r="E132" s="31"/>
    </row>
    <row r="133" spans="1:5" ht="15" customHeight="1">
      <c r="A133" s="32"/>
      <c r="B133" s="31"/>
      <c r="C133" s="31"/>
      <c r="D133" s="31"/>
      <c r="E133" s="31"/>
    </row>
    <row r="134" spans="1:5" ht="15" customHeight="1">
      <c r="A134" s="33"/>
    </row>
  </sheetData>
  <mergeCells count="95">
    <mergeCell ref="B120:C120"/>
    <mergeCell ref="A115:D115"/>
    <mergeCell ref="B116:C116"/>
    <mergeCell ref="B117:C117"/>
    <mergeCell ref="B118:C118"/>
    <mergeCell ref="B119:C119"/>
    <mergeCell ref="A126:E126"/>
    <mergeCell ref="B121:C121"/>
    <mergeCell ref="A122:C122"/>
    <mergeCell ref="B123:C123"/>
    <mergeCell ref="A124:C124"/>
    <mergeCell ref="A113:B113"/>
    <mergeCell ref="B94:C94"/>
    <mergeCell ref="A95:C95"/>
    <mergeCell ref="A97:D97"/>
    <mergeCell ref="B98:C98"/>
    <mergeCell ref="B99:C99"/>
    <mergeCell ref="B100:C100"/>
    <mergeCell ref="B101:C101"/>
    <mergeCell ref="B102:C102"/>
    <mergeCell ref="A103:C103"/>
    <mergeCell ref="A105:D105"/>
    <mergeCell ref="B109:D109"/>
    <mergeCell ref="B93:C93"/>
    <mergeCell ref="B80:C80"/>
    <mergeCell ref="B81:C81"/>
    <mergeCell ref="B82:C82"/>
    <mergeCell ref="B83:C83"/>
    <mergeCell ref="A84:C84"/>
    <mergeCell ref="A86:D86"/>
    <mergeCell ref="B87:C87"/>
    <mergeCell ref="B88:C88"/>
    <mergeCell ref="A89:C89"/>
    <mergeCell ref="A91:D91"/>
    <mergeCell ref="B92:C92"/>
    <mergeCell ref="B79:C79"/>
    <mergeCell ref="B67:C67"/>
    <mergeCell ref="B68:C68"/>
    <mergeCell ref="B69:C69"/>
    <mergeCell ref="B70:C70"/>
    <mergeCell ref="B71:C71"/>
    <mergeCell ref="B72:C72"/>
    <mergeCell ref="A73:C73"/>
    <mergeCell ref="A75:D75"/>
    <mergeCell ref="A76:D76"/>
    <mergeCell ref="B77:C77"/>
    <mergeCell ref="B78:C78"/>
    <mergeCell ref="B66:C66"/>
    <mergeCell ref="B53:C53"/>
    <mergeCell ref="B54:C54"/>
    <mergeCell ref="B55:C55"/>
    <mergeCell ref="A56:C56"/>
    <mergeCell ref="A58:D58"/>
    <mergeCell ref="B59:C59"/>
    <mergeCell ref="B60:C60"/>
    <mergeCell ref="B61:C61"/>
    <mergeCell ref="B62:C62"/>
    <mergeCell ref="A63:C63"/>
    <mergeCell ref="A65:D65"/>
    <mergeCell ref="B52:C52"/>
    <mergeCell ref="A30:D30"/>
    <mergeCell ref="A31:D31"/>
    <mergeCell ref="B32:C32"/>
    <mergeCell ref="B33:C33"/>
    <mergeCell ref="B34:C34"/>
    <mergeCell ref="A35:C35"/>
    <mergeCell ref="A37:D37"/>
    <mergeCell ref="A47:B47"/>
    <mergeCell ref="A49:D49"/>
    <mergeCell ref="B50:C50"/>
    <mergeCell ref="B51:C51"/>
    <mergeCell ref="A28:C28"/>
    <mergeCell ref="C16:D16"/>
    <mergeCell ref="C17:D17"/>
    <mergeCell ref="A19:D19"/>
    <mergeCell ref="B20:C20"/>
    <mergeCell ref="B21:C21"/>
    <mergeCell ref="B22:C22"/>
    <mergeCell ref="B23:C23"/>
    <mergeCell ref="B24:C24"/>
    <mergeCell ref="B25:C25"/>
    <mergeCell ref="B26:C26"/>
    <mergeCell ref="B27:C27"/>
    <mergeCell ref="C15:D15"/>
    <mergeCell ref="A3:D3"/>
    <mergeCell ref="C4:D4"/>
    <mergeCell ref="C5:D5"/>
    <mergeCell ref="C6:D6"/>
    <mergeCell ref="C7:D7"/>
    <mergeCell ref="A9:D9"/>
    <mergeCell ref="A1:D1"/>
    <mergeCell ref="A10:B10"/>
    <mergeCell ref="A11:B11"/>
    <mergeCell ref="C13:D13"/>
    <mergeCell ref="C14:D14"/>
  </mergeCells>
  <printOptions horizontalCentered="1"/>
  <pageMargins left="0.78740157480314965" right="0.47244094488188981" top="1.3779527559055118" bottom="0.9055118110236221" header="0" footer="0"/>
  <pageSetup paperSize="9" scale="96" orientation="portrait" r:id="rId1"/>
  <colBreaks count="1" manualBreakCount="1">
    <brk id="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3"/>
  <sheetViews>
    <sheetView topLeftCell="A112" workbookViewId="0">
      <selection activeCell="D130" sqref="D130"/>
    </sheetView>
  </sheetViews>
  <sheetFormatPr defaultRowHeight="14.25"/>
  <cols>
    <col min="2" max="2" width="46" customWidth="1"/>
    <col min="3" max="3" width="17.125" customWidth="1"/>
    <col min="4" max="4" width="20.5" customWidth="1"/>
    <col min="10" max="10" width="10" bestFit="1" customWidth="1"/>
  </cols>
  <sheetData>
    <row r="1" spans="1:4" s="50" customFormat="1" ht="14.25" customHeight="1">
      <c r="A1" s="156"/>
      <c r="B1" s="157"/>
      <c r="C1" s="157"/>
      <c r="D1" s="157"/>
    </row>
    <row r="2" spans="1:4" s="50" customFormat="1" ht="14.25" customHeight="1">
      <c r="A2" s="51"/>
      <c r="B2" s="51"/>
      <c r="C2" s="51"/>
      <c r="D2" s="51"/>
    </row>
    <row r="3" spans="1:4" s="50" customFormat="1" ht="14.25" customHeight="1" thickBot="1">
      <c r="A3" s="143" t="s">
        <v>0</v>
      </c>
      <c r="B3" s="144"/>
      <c r="C3" s="144"/>
      <c r="D3" s="144"/>
    </row>
    <row r="4" spans="1:4" s="50" customFormat="1" ht="14.25" customHeight="1" thickBot="1">
      <c r="A4" s="9" t="s">
        <v>1</v>
      </c>
      <c r="B4" s="10" t="s">
        <v>2</v>
      </c>
      <c r="C4" s="158">
        <f>COPEIRA!C4</f>
        <v>44692</v>
      </c>
      <c r="D4" s="163"/>
    </row>
    <row r="5" spans="1:4" s="50" customFormat="1" ht="14.25" customHeight="1" thickBot="1">
      <c r="A5" s="9" t="s">
        <v>3</v>
      </c>
      <c r="B5" s="10" t="s">
        <v>4</v>
      </c>
      <c r="C5" s="158" t="str">
        <f>COPEIRA!C5</f>
        <v>Recife / PE</v>
      </c>
      <c r="D5" s="163"/>
    </row>
    <row r="6" spans="1:4" s="50" customFormat="1" ht="14.25" customHeight="1" thickBot="1">
      <c r="A6" s="9" t="s">
        <v>5</v>
      </c>
      <c r="B6" s="10" t="s">
        <v>6</v>
      </c>
      <c r="C6" s="154" t="str">
        <f>COPEIRA!C6</f>
        <v>PE000089/2022</v>
      </c>
      <c r="D6" s="148"/>
    </row>
    <row r="7" spans="1:4" s="50" customFormat="1" ht="14.25" customHeight="1" thickBot="1">
      <c r="A7" s="9" t="s">
        <v>7</v>
      </c>
      <c r="B7" s="10" t="s">
        <v>8</v>
      </c>
      <c r="C7" s="154">
        <v>6</v>
      </c>
      <c r="D7" s="148"/>
    </row>
    <row r="8" spans="1:4" s="50" customFormat="1" ht="14.25" customHeight="1">
      <c r="A8" s="51"/>
      <c r="B8" s="51"/>
      <c r="C8" s="51"/>
      <c r="D8" s="51"/>
    </row>
    <row r="9" spans="1:4" s="50" customFormat="1" ht="14.25" customHeight="1" thickBot="1">
      <c r="A9" s="143" t="s">
        <v>9</v>
      </c>
      <c r="B9" s="144"/>
      <c r="C9" s="144"/>
      <c r="D9" s="144"/>
    </row>
    <row r="10" spans="1:4" s="50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s="50" customFormat="1" ht="14.25" customHeight="1" thickBot="1">
      <c r="A11" s="154" t="s">
        <v>103</v>
      </c>
      <c r="B11" s="148"/>
      <c r="C11" s="9" t="s">
        <v>141</v>
      </c>
      <c r="D11" s="9">
        <v>1</v>
      </c>
    </row>
    <row r="12" spans="1:4" s="50" customFormat="1" ht="14.25" customHeight="1" thickBot="1">
      <c r="A12" s="51"/>
      <c r="B12" s="51"/>
      <c r="C12" s="51"/>
      <c r="D12" s="51"/>
    </row>
    <row r="13" spans="1:4" s="50" customFormat="1" ht="14.25" customHeight="1" thickBot="1">
      <c r="A13" s="9">
        <v>1</v>
      </c>
      <c r="B13" s="10" t="s">
        <v>14</v>
      </c>
      <c r="C13" s="154" t="str">
        <f>A11</f>
        <v>Recepção</v>
      </c>
      <c r="D13" s="148"/>
    </row>
    <row r="14" spans="1:4" s="50" customFormat="1" ht="14.25" customHeight="1" thickBot="1">
      <c r="A14" s="9">
        <v>2</v>
      </c>
      <c r="B14" s="10" t="s">
        <v>15</v>
      </c>
      <c r="C14" s="179" t="s">
        <v>107</v>
      </c>
      <c r="D14" s="148"/>
    </row>
    <row r="15" spans="1:4" s="50" customFormat="1" ht="14.25" customHeight="1" thickBot="1">
      <c r="A15" s="9">
        <v>3</v>
      </c>
      <c r="B15" s="10" t="s">
        <v>16</v>
      </c>
      <c r="C15" s="160">
        <v>1326.25</v>
      </c>
      <c r="D15" s="161"/>
    </row>
    <row r="16" spans="1:4" s="50" customFormat="1" ht="14.25" customHeight="1" thickBot="1">
      <c r="A16" s="9">
        <v>4</v>
      </c>
      <c r="B16" s="10" t="s">
        <v>17</v>
      </c>
      <c r="C16" s="154" t="s">
        <v>117</v>
      </c>
      <c r="D16" s="148"/>
    </row>
    <row r="17" spans="1:4" s="50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4" s="50" customFormat="1" ht="14.25" customHeight="1">
      <c r="A18" s="51"/>
      <c r="B18" s="51"/>
      <c r="C18" s="51"/>
      <c r="D18" s="51"/>
    </row>
    <row r="19" spans="1:4" s="50" customFormat="1" ht="14.25" customHeight="1" thickBot="1">
      <c r="A19" s="143" t="s">
        <v>19</v>
      </c>
      <c r="B19" s="144"/>
      <c r="C19" s="144"/>
      <c r="D19" s="144"/>
    </row>
    <row r="20" spans="1:4" s="63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4" s="63" customFormat="1" ht="14.25" customHeight="1" thickBot="1">
      <c r="A21" s="14" t="s">
        <v>1</v>
      </c>
      <c r="B21" s="141" t="s">
        <v>22</v>
      </c>
      <c r="C21" s="142"/>
      <c r="D21" s="41">
        <f>C15</f>
        <v>1326.25</v>
      </c>
    </row>
    <row r="22" spans="1:4" s="63" customFormat="1" ht="14.25" customHeight="1" thickBot="1">
      <c r="A22" s="14" t="s">
        <v>3</v>
      </c>
      <c r="B22" s="141" t="s">
        <v>23</v>
      </c>
      <c r="C22" s="142"/>
      <c r="D22" s="41"/>
    </row>
    <row r="23" spans="1:4" s="63" customFormat="1" ht="14.25" customHeight="1" thickBot="1">
      <c r="A23" s="14" t="s">
        <v>5</v>
      </c>
      <c r="B23" s="141" t="s">
        <v>24</v>
      </c>
      <c r="C23" s="142"/>
      <c r="D23" s="41"/>
    </row>
    <row r="24" spans="1:4" s="63" customFormat="1" ht="14.25" customHeight="1" thickBot="1">
      <c r="A24" s="14" t="s">
        <v>7</v>
      </c>
      <c r="B24" s="141" t="s">
        <v>25</v>
      </c>
      <c r="C24" s="142"/>
      <c r="D24" s="41"/>
    </row>
    <row r="25" spans="1:4" s="63" customFormat="1" ht="14.25" customHeight="1" thickBot="1">
      <c r="A25" s="14" t="s">
        <v>26</v>
      </c>
      <c r="B25" s="141" t="s">
        <v>27</v>
      </c>
      <c r="C25" s="142"/>
      <c r="D25" s="41"/>
    </row>
    <row r="26" spans="1:4" s="63" customFormat="1" ht="14.25" customHeight="1" thickBot="1">
      <c r="A26" s="14"/>
      <c r="B26" s="141"/>
      <c r="C26" s="142"/>
      <c r="D26" s="41"/>
    </row>
    <row r="27" spans="1:4" s="63" customFormat="1" ht="14.25" customHeight="1" thickBot="1">
      <c r="A27" s="14" t="s">
        <v>28</v>
      </c>
      <c r="B27" s="153" t="s">
        <v>29</v>
      </c>
      <c r="C27" s="142"/>
      <c r="D27" s="41"/>
    </row>
    <row r="28" spans="1:4" s="63" customFormat="1" ht="14.25" customHeight="1" thickBot="1">
      <c r="A28" s="147" t="s">
        <v>30</v>
      </c>
      <c r="B28" s="150"/>
      <c r="C28" s="148"/>
      <c r="D28" s="42">
        <f>SUM(D21:D27)</f>
        <v>1326.25</v>
      </c>
    </row>
    <row r="29" spans="1:4" s="63" customFormat="1" ht="14.25" customHeight="1">
      <c r="A29" s="62"/>
      <c r="B29" s="62"/>
      <c r="C29" s="62"/>
      <c r="D29" s="62"/>
    </row>
    <row r="30" spans="1:4" s="63" customFormat="1" ht="14.25" customHeight="1">
      <c r="A30" s="143" t="s">
        <v>31</v>
      </c>
      <c r="B30" s="144"/>
      <c r="C30" s="144"/>
      <c r="D30" s="144"/>
    </row>
    <row r="31" spans="1:4" s="63" customFormat="1" ht="14.25" customHeight="1" thickBot="1">
      <c r="A31" s="151" t="s">
        <v>32</v>
      </c>
      <c r="B31" s="144"/>
      <c r="C31" s="144"/>
      <c r="D31" s="144"/>
    </row>
    <row r="32" spans="1:4" s="63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63" customFormat="1" ht="14.25" customHeight="1" thickBot="1">
      <c r="A33" s="14" t="s">
        <v>1</v>
      </c>
      <c r="B33" s="141" t="s">
        <v>35</v>
      </c>
      <c r="C33" s="142"/>
      <c r="D33" s="42">
        <f>D28*8.33%</f>
        <v>110.476625</v>
      </c>
    </row>
    <row r="34" spans="1:7" s="63" customFormat="1" ht="14.25" customHeight="1" thickBot="1">
      <c r="A34" s="14" t="s">
        <v>3</v>
      </c>
      <c r="B34" s="153" t="s">
        <v>36</v>
      </c>
      <c r="C34" s="142"/>
      <c r="D34" s="42">
        <f>D28*12.1%</f>
        <v>160.47624999999999</v>
      </c>
    </row>
    <row r="35" spans="1:7" s="63" customFormat="1" ht="14.25" customHeight="1" thickBot="1">
      <c r="A35" s="147" t="s">
        <v>30</v>
      </c>
      <c r="B35" s="150"/>
      <c r="C35" s="148"/>
      <c r="D35" s="42">
        <f>SUM(D33:D34)</f>
        <v>270.95287500000001</v>
      </c>
    </row>
    <row r="36" spans="1:7" s="63" customFormat="1" ht="14.25" customHeight="1">
      <c r="A36" s="62"/>
      <c r="B36" s="62"/>
      <c r="C36" s="62"/>
      <c r="D36" s="62"/>
    </row>
    <row r="37" spans="1:7" s="63" customFormat="1" ht="32.25" customHeight="1" thickBot="1">
      <c r="A37" s="171" t="s">
        <v>37</v>
      </c>
      <c r="B37" s="144"/>
      <c r="C37" s="144"/>
      <c r="D37" s="144"/>
    </row>
    <row r="38" spans="1:7" s="63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63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319.44057500000002</v>
      </c>
      <c r="G39" s="46">
        <f>D35+D28</f>
        <v>1597.2028749999999</v>
      </c>
    </row>
    <row r="40" spans="1:7" s="63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39.930071875000003</v>
      </c>
    </row>
    <row r="41" spans="1:7" s="63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47.916086249999999</v>
      </c>
    </row>
    <row r="42" spans="1:7" s="63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23.958043125</v>
      </c>
    </row>
    <row r="43" spans="1:7" s="63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15.97202875</v>
      </c>
    </row>
    <row r="44" spans="1:7" s="63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9.5832172500000006</v>
      </c>
    </row>
    <row r="45" spans="1:7" s="63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3.19440575</v>
      </c>
    </row>
    <row r="46" spans="1:7" s="63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127.77623</v>
      </c>
    </row>
    <row r="47" spans="1:7" s="63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587.77065800000003</v>
      </c>
    </row>
    <row r="48" spans="1:7" s="63" customFormat="1" ht="14.25" customHeight="1">
      <c r="A48" s="62"/>
      <c r="B48" s="62"/>
      <c r="C48" s="62"/>
      <c r="D48" s="62"/>
    </row>
    <row r="49" spans="1:4" s="63" customFormat="1" ht="14.25" customHeight="1" thickBot="1">
      <c r="A49" s="172" t="s">
        <v>52</v>
      </c>
      <c r="B49" s="144"/>
      <c r="C49" s="144"/>
      <c r="D49" s="144"/>
    </row>
    <row r="50" spans="1:4" s="63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63" customFormat="1" ht="14.25" customHeight="1" thickBot="1">
      <c r="A51" s="14" t="s">
        <v>1</v>
      </c>
      <c r="B51" s="165" t="s">
        <v>55</v>
      </c>
      <c r="C51" s="148"/>
      <c r="D51" s="41">
        <f>(ASG!H52*2*22)-(D21*6%)</f>
        <v>133.82499999999999</v>
      </c>
    </row>
    <row r="52" spans="1:4" s="63" customFormat="1" ht="14.25" customHeight="1" thickBot="1">
      <c r="A52" s="14" t="s">
        <v>3</v>
      </c>
      <c r="B52" s="165" t="s">
        <v>56</v>
      </c>
      <c r="C52" s="148"/>
      <c r="D52" s="44">
        <f>(8.42*22)*80%</f>
        <v>148.19200000000001</v>
      </c>
    </row>
    <row r="53" spans="1:4" s="63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63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63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</f>
        <v>0</v>
      </c>
    </row>
    <row r="56" spans="1:4" s="63" customFormat="1" ht="14.25" customHeight="1" thickBot="1">
      <c r="A56" s="147" t="s">
        <v>30</v>
      </c>
      <c r="B56" s="150"/>
      <c r="C56" s="148"/>
      <c r="D56" s="41">
        <f>SUM(D51:D55)</f>
        <v>282.017</v>
      </c>
    </row>
    <row r="57" spans="1:4" s="63" customFormat="1" ht="14.25" customHeight="1">
      <c r="A57" s="62"/>
      <c r="B57" s="62"/>
      <c r="C57" s="62"/>
      <c r="D57" s="62"/>
    </row>
    <row r="58" spans="1:4" s="63" customFormat="1" ht="14.25" customHeight="1" thickBot="1">
      <c r="A58" s="151" t="s">
        <v>57</v>
      </c>
      <c r="B58" s="144"/>
      <c r="C58" s="144"/>
      <c r="D58" s="144"/>
    </row>
    <row r="59" spans="1:4" s="63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4" s="63" customFormat="1" ht="14.25" customHeight="1" thickBot="1">
      <c r="A60" s="14" t="s">
        <v>33</v>
      </c>
      <c r="B60" s="165" t="s">
        <v>34</v>
      </c>
      <c r="C60" s="148"/>
      <c r="D60" s="41">
        <f>D35</f>
        <v>270.95287500000001</v>
      </c>
    </row>
    <row r="61" spans="1:4" s="63" customFormat="1" ht="14.25" customHeight="1" thickBot="1">
      <c r="A61" s="14" t="s">
        <v>38</v>
      </c>
      <c r="B61" s="165" t="s">
        <v>39</v>
      </c>
      <c r="C61" s="148"/>
      <c r="D61" s="41">
        <f>D47</f>
        <v>587.77065800000003</v>
      </c>
    </row>
    <row r="62" spans="1:4" s="63" customFormat="1" ht="14.25" customHeight="1" thickBot="1">
      <c r="A62" s="22" t="s">
        <v>53</v>
      </c>
      <c r="B62" s="170" t="s">
        <v>54</v>
      </c>
      <c r="C62" s="148"/>
      <c r="D62" s="41">
        <f>D56</f>
        <v>282.017</v>
      </c>
    </row>
    <row r="63" spans="1:4" s="63" customFormat="1" ht="14.25" customHeight="1" thickBot="1">
      <c r="A63" s="147" t="s">
        <v>30</v>
      </c>
      <c r="B63" s="150"/>
      <c r="C63" s="148"/>
      <c r="D63" s="41">
        <f>SUM(D60:D62)</f>
        <v>1140.7405330000001</v>
      </c>
    </row>
    <row r="64" spans="1:4" s="63" customFormat="1" ht="14.25" customHeight="1">
      <c r="A64" s="6"/>
      <c r="B64" s="62"/>
      <c r="C64" s="62"/>
      <c r="D64" s="62"/>
    </row>
    <row r="65" spans="1:7" s="63" customFormat="1" ht="14.25" customHeight="1" thickBot="1">
      <c r="A65" s="143" t="s">
        <v>59</v>
      </c>
      <c r="B65" s="144"/>
      <c r="C65" s="144"/>
      <c r="D65" s="144"/>
    </row>
    <row r="66" spans="1:7" s="63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63" customFormat="1" ht="14.25" customHeight="1" thickBot="1">
      <c r="A67" s="14" t="s">
        <v>1</v>
      </c>
      <c r="B67" s="141" t="s">
        <v>61</v>
      </c>
      <c r="C67" s="142"/>
      <c r="D67" s="41">
        <f>$D$28*0.46%</f>
        <v>6.1007499999999997</v>
      </c>
    </row>
    <row r="68" spans="1:7" s="63" customFormat="1" ht="14.25" customHeight="1" thickBot="1">
      <c r="A68" s="14" t="s">
        <v>3</v>
      </c>
      <c r="B68" s="141" t="s">
        <v>62</v>
      </c>
      <c r="C68" s="142"/>
      <c r="D68" s="41">
        <f>D67*C46</f>
        <v>0.48805999999999999</v>
      </c>
    </row>
    <row r="69" spans="1:7" s="63" customFormat="1" ht="14.25" customHeight="1" thickBot="1">
      <c r="A69" s="14" t="s">
        <v>5</v>
      </c>
      <c r="B69" s="152" t="s">
        <v>63</v>
      </c>
      <c r="C69" s="142"/>
      <c r="D69" s="41">
        <f>D67*8%*40%</f>
        <v>0.19522400000000001</v>
      </c>
    </row>
    <row r="70" spans="1:7" s="63" customFormat="1" ht="14.25" customHeight="1" thickBot="1">
      <c r="A70" s="14" t="s">
        <v>7</v>
      </c>
      <c r="B70" s="141" t="s">
        <v>64</v>
      </c>
      <c r="C70" s="142"/>
      <c r="D70" s="41">
        <f>$D$28*1.94%</f>
        <v>25.72925</v>
      </c>
    </row>
    <row r="71" spans="1:7" s="63" customFormat="1" ht="14.25" customHeight="1" thickBot="1">
      <c r="A71" s="23" t="s">
        <v>26</v>
      </c>
      <c r="B71" s="168" t="s">
        <v>65</v>
      </c>
      <c r="C71" s="169"/>
      <c r="D71" s="41">
        <f>D70*C47</f>
        <v>9.4683640000000011</v>
      </c>
    </row>
    <row r="72" spans="1:7" s="63" customFormat="1" ht="14.25" customHeight="1" thickBot="1">
      <c r="A72" s="22" t="s">
        <v>46</v>
      </c>
      <c r="B72" s="167" t="s">
        <v>66</v>
      </c>
      <c r="C72" s="148"/>
      <c r="D72" s="41">
        <f>$D$28*3.2%</f>
        <v>42.44</v>
      </c>
    </row>
    <row r="73" spans="1:7" s="63" customFormat="1" ht="14.25" customHeight="1" thickBot="1">
      <c r="A73" s="147" t="s">
        <v>30</v>
      </c>
      <c r="B73" s="150"/>
      <c r="C73" s="148"/>
      <c r="D73" s="42">
        <f>SUM(D67:D72)</f>
        <v>84.421648000000005</v>
      </c>
    </row>
    <row r="74" spans="1:7" s="63" customFormat="1" ht="14.25" customHeight="1">
      <c r="A74" s="62"/>
      <c r="B74" s="62"/>
      <c r="C74" s="62"/>
      <c r="D74" s="62"/>
    </row>
    <row r="75" spans="1:7" s="63" customFormat="1" ht="14.25" customHeight="1">
      <c r="A75" s="143" t="s">
        <v>67</v>
      </c>
      <c r="B75" s="144"/>
      <c r="C75" s="144"/>
      <c r="D75" s="144"/>
    </row>
    <row r="76" spans="1:7" s="63" customFormat="1" ht="14.25" customHeight="1" thickBot="1">
      <c r="A76" s="151" t="s">
        <v>68</v>
      </c>
      <c r="B76" s="144"/>
      <c r="C76" s="144"/>
      <c r="D76" s="144"/>
    </row>
    <row r="77" spans="1:7" s="63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63" customFormat="1" ht="14.25" customHeight="1" thickBot="1">
      <c r="A78" s="14" t="s">
        <v>1</v>
      </c>
      <c r="B78" s="152" t="s">
        <v>71</v>
      </c>
      <c r="C78" s="142"/>
      <c r="D78" s="41">
        <f>D28*1.62%</f>
        <v>21.485250000000004</v>
      </c>
      <c r="G78" s="43">
        <f>D28+D63+D73</f>
        <v>2551.4121810000001</v>
      </c>
    </row>
    <row r="79" spans="1:7" s="63" customFormat="1" ht="14.25" customHeight="1" thickBot="1">
      <c r="A79" s="14" t="s">
        <v>3</v>
      </c>
      <c r="B79" s="152" t="s">
        <v>72</v>
      </c>
      <c r="C79" s="142"/>
      <c r="D79" s="41">
        <f>D28*0.28%</f>
        <v>3.7135000000000007</v>
      </c>
    </row>
    <row r="80" spans="1:7" s="63" customFormat="1" ht="14.25" customHeight="1" thickBot="1">
      <c r="A80" s="14" t="s">
        <v>5</v>
      </c>
      <c r="B80" s="152" t="s">
        <v>73</v>
      </c>
      <c r="C80" s="142"/>
      <c r="D80" s="41">
        <f>D28*0.08%</f>
        <v>1.0609999999999999</v>
      </c>
    </row>
    <row r="81" spans="1:4" s="63" customFormat="1" ht="14.25" customHeight="1" thickBot="1">
      <c r="A81" s="14" t="s">
        <v>7</v>
      </c>
      <c r="B81" s="141" t="s">
        <v>74</v>
      </c>
      <c r="C81" s="142"/>
      <c r="D81" s="41">
        <f>D28*0.27%</f>
        <v>3.5808750000000003</v>
      </c>
    </row>
    <row r="82" spans="1:4" s="63" customFormat="1" ht="14.25" customHeight="1" thickBot="1">
      <c r="A82" s="14" t="s">
        <v>26</v>
      </c>
      <c r="B82" s="177" t="s">
        <v>75</v>
      </c>
      <c r="C82" s="142"/>
      <c r="D82" s="41">
        <f>D28*0.03%</f>
        <v>0.39787499999999998</v>
      </c>
    </row>
    <row r="83" spans="1:4" s="63" customFormat="1" ht="14.25" customHeight="1" thickBot="1">
      <c r="A83" s="14" t="s">
        <v>46</v>
      </c>
      <c r="B83" s="178" t="s">
        <v>76</v>
      </c>
      <c r="C83" s="142"/>
      <c r="D83" s="41"/>
    </row>
    <row r="84" spans="1:4" s="63" customFormat="1" ht="14.25" customHeight="1" thickBot="1">
      <c r="A84" s="147" t="s">
        <v>51</v>
      </c>
      <c r="B84" s="150"/>
      <c r="C84" s="148"/>
      <c r="D84" s="41">
        <f>SUM(D78:D83)</f>
        <v>30.238500000000002</v>
      </c>
    </row>
    <row r="85" spans="1:4" s="63" customFormat="1" ht="14.25" customHeight="1">
      <c r="A85" s="62"/>
      <c r="B85" s="62"/>
      <c r="C85" s="62"/>
      <c r="D85" s="62"/>
    </row>
    <row r="86" spans="1:4" s="63" customFormat="1" ht="14.25" customHeight="1" thickBot="1">
      <c r="A86" s="151" t="s">
        <v>77</v>
      </c>
      <c r="B86" s="144"/>
      <c r="C86" s="144"/>
      <c r="D86" s="144"/>
    </row>
    <row r="87" spans="1:4" s="63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4" s="63" customFormat="1" ht="14.25" customHeight="1" thickBot="1">
      <c r="A88" s="14" t="s">
        <v>1</v>
      </c>
      <c r="B88" s="153" t="s">
        <v>80</v>
      </c>
      <c r="C88" s="142"/>
      <c r="D88" s="41">
        <v>0</v>
      </c>
    </row>
    <row r="89" spans="1:4" s="63" customFormat="1" ht="14.25" customHeight="1" thickBot="1">
      <c r="A89" s="147" t="s">
        <v>30</v>
      </c>
      <c r="B89" s="150"/>
      <c r="C89" s="148"/>
      <c r="D89" s="42">
        <f>D88</f>
        <v>0</v>
      </c>
    </row>
    <row r="90" spans="1:4" s="63" customFormat="1" ht="14.25" customHeight="1">
      <c r="A90" s="62"/>
      <c r="B90" s="62"/>
      <c r="C90" s="62"/>
      <c r="D90" s="62"/>
    </row>
    <row r="91" spans="1:4" s="63" customFormat="1" ht="14.25" customHeight="1" thickBot="1">
      <c r="A91" s="151" t="s">
        <v>81</v>
      </c>
      <c r="B91" s="144"/>
      <c r="C91" s="144"/>
      <c r="D91" s="144"/>
    </row>
    <row r="92" spans="1:4" s="63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4" s="63" customFormat="1" ht="14.25" customHeight="1" thickBot="1">
      <c r="A93" s="14" t="s">
        <v>69</v>
      </c>
      <c r="B93" s="141" t="s">
        <v>70</v>
      </c>
      <c r="C93" s="142"/>
      <c r="D93" s="41">
        <f>D84</f>
        <v>30.238500000000002</v>
      </c>
    </row>
    <row r="94" spans="1:4" s="63" customFormat="1" ht="14.25" customHeight="1" thickBot="1">
      <c r="A94" s="14" t="s">
        <v>78</v>
      </c>
      <c r="B94" s="153" t="s">
        <v>79</v>
      </c>
      <c r="C94" s="142"/>
      <c r="D94" s="41">
        <f>D89</f>
        <v>0</v>
      </c>
    </row>
    <row r="95" spans="1:4" s="63" customFormat="1" ht="14.25" customHeight="1" thickBot="1">
      <c r="A95" s="147" t="s">
        <v>30</v>
      </c>
      <c r="B95" s="150"/>
      <c r="C95" s="148"/>
      <c r="D95" s="41">
        <f>SUM(D93:D94)</f>
        <v>30.238500000000002</v>
      </c>
    </row>
    <row r="96" spans="1:4" s="63" customFormat="1" ht="14.25" customHeight="1">
      <c r="A96" s="62"/>
      <c r="B96" s="62"/>
      <c r="C96" s="62"/>
      <c r="D96" s="62"/>
    </row>
    <row r="97" spans="1:8" s="63" customFormat="1" ht="14.25" customHeight="1" thickBot="1">
      <c r="A97" s="143" t="s">
        <v>83</v>
      </c>
      <c r="B97" s="144"/>
      <c r="C97" s="144"/>
      <c r="D97" s="144"/>
    </row>
    <row r="98" spans="1:8" s="63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63" customFormat="1" ht="14.25" customHeight="1" thickBot="1">
      <c r="A99" s="14" t="s">
        <v>1</v>
      </c>
      <c r="B99" s="141" t="s">
        <v>85</v>
      </c>
      <c r="C99" s="142"/>
      <c r="D99" s="44">
        <f>ASG!D99+12</f>
        <v>12</v>
      </c>
    </row>
    <row r="100" spans="1:8" s="63" customFormat="1" ht="14.25" customHeight="1" thickBot="1">
      <c r="A100" s="14" t="s">
        <v>3</v>
      </c>
      <c r="B100" s="153" t="s">
        <v>86</v>
      </c>
      <c r="C100" s="142"/>
      <c r="D100" s="42">
        <v>0</v>
      </c>
    </row>
    <row r="101" spans="1:8" s="63" customFormat="1" ht="14.25" customHeight="1" thickBot="1">
      <c r="A101" s="22" t="s">
        <v>5</v>
      </c>
      <c r="B101" s="170" t="s">
        <v>102</v>
      </c>
      <c r="C101" s="148"/>
      <c r="D101" s="42">
        <v>15</v>
      </c>
    </row>
    <row r="102" spans="1:8" s="63" customFormat="1" ht="14.25" customHeight="1" thickBot="1">
      <c r="A102" s="22" t="s">
        <v>7</v>
      </c>
      <c r="B102" s="167" t="s">
        <v>87</v>
      </c>
      <c r="C102" s="148"/>
      <c r="D102" s="42"/>
    </row>
    <row r="103" spans="1:8" s="63" customFormat="1" ht="14.25" customHeight="1" thickBot="1">
      <c r="A103" s="147" t="s">
        <v>51</v>
      </c>
      <c r="B103" s="150"/>
      <c r="C103" s="148"/>
      <c r="D103" s="42">
        <f>SUM(D99:D102)</f>
        <v>27</v>
      </c>
    </row>
    <row r="104" spans="1:8" s="63" customFormat="1" ht="14.25" customHeight="1">
      <c r="A104" s="62"/>
      <c r="B104" s="62"/>
      <c r="C104" s="62"/>
      <c r="D104" s="62"/>
    </row>
    <row r="105" spans="1:8" s="63" customFormat="1" ht="14.25" customHeight="1" thickBot="1">
      <c r="A105" s="143" t="s">
        <v>88</v>
      </c>
      <c r="B105" s="144"/>
      <c r="C105" s="144"/>
      <c r="D105" s="144"/>
    </row>
    <row r="106" spans="1:8" s="63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63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>
        <f>ROUND((G107*C107),2)</f>
        <v>78.260000000000005</v>
      </c>
      <c r="G107" s="43">
        <f>G78+D95+D103</f>
        <v>2608.6506810000001</v>
      </c>
    </row>
    <row r="108" spans="1:8" s="63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>
        <f>ROUND((H108*C108),2)</f>
        <v>182.44</v>
      </c>
      <c r="H108" s="43">
        <f>G107+D107</f>
        <v>2686.9106810000003</v>
      </c>
    </row>
    <row r="109" spans="1:8" s="63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63" customFormat="1" ht="14.25" customHeight="1" thickBot="1">
      <c r="A110" s="14"/>
      <c r="B110" s="26" t="s">
        <v>94</v>
      </c>
      <c r="C110" s="27">
        <v>3.6499999999999998E-2</v>
      </c>
      <c r="D110" s="41">
        <f>ROUND((G118*C110),2)</f>
        <v>114.65</v>
      </c>
    </row>
    <row r="111" spans="1:8" s="63" customFormat="1" ht="14.25" customHeight="1" thickBot="1">
      <c r="A111" s="14"/>
      <c r="B111" s="17" t="s">
        <v>126</v>
      </c>
      <c r="C111" s="27">
        <v>0</v>
      </c>
      <c r="D111" s="41">
        <f>G118*C111</f>
        <v>0</v>
      </c>
    </row>
    <row r="112" spans="1:8" s="63" customFormat="1" ht="14.25" customHeight="1" thickBot="1">
      <c r="A112" s="14"/>
      <c r="B112" s="26" t="s">
        <v>95</v>
      </c>
      <c r="C112" s="28">
        <v>0.05</v>
      </c>
      <c r="D112" s="41">
        <f>ROUND((G118*C112),2)</f>
        <v>157.05000000000001</v>
      </c>
    </row>
    <row r="113" spans="1:7" s="63" customFormat="1" ht="14.25" customHeight="1" thickBot="1">
      <c r="A113" s="147" t="s">
        <v>51</v>
      </c>
      <c r="B113" s="148"/>
      <c r="C113" s="29"/>
      <c r="D113" s="45">
        <f>SUM(D107:D108,D110:D112)</f>
        <v>532.40000000000009</v>
      </c>
    </row>
    <row r="114" spans="1:7" s="63" customFormat="1" ht="14.25" customHeight="1">
      <c r="A114" s="62"/>
      <c r="B114" s="62"/>
      <c r="C114" s="62"/>
      <c r="D114" s="62"/>
    </row>
    <row r="115" spans="1:7" s="63" customFormat="1" ht="14.25" customHeight="1" thickBot="1">
      <c r="A115" s="143" t="s">
        <v>96</v>
      </c>
      <c r="B115" s="144"/>
      <c r="C115" s="144"/>
      <c r="D115" s="144"/>
    </row>
    <row r="116" spans="1:7" s="63" customFormat="1" ht="14.25" customHeight="1" thickBot="1">
      <c r="A116" s="12"/>
      <c r="B116" s="149" t="s">
        <v>97</v>
      </c>
      <c r="C116" s="148"/>
      <c r="D116" s="13" t="s">
        <v>21</v>
      </c>
      <c r="G116" s="43">
        <f>H108+D108</f>
        <v>2869.3506810000003</v>
      </c>
    </row>
    <row r="117" spans="1:7" s="63" customFormat="1" ht="14.25" customHeight="1" thickBot="1">
      <c r="A117" s="30" t="s">
        <v>1</v>
      </c>
      <c r="B117" s="141" t="s">
        <v>19</v>
      </c>
      <c r="C117" s="142"/>
      <c r="D117" s="42">
        <f>D28</f>
        <v>1326.25</v>
      </c>
      <c r="F117" s="63">
        <f>ASG!F121</f>
        <v>0.91349999999999998</v>
      </c>
    </row>
    <row r="118" spans="1:7" s="63" customFormat="1" ht="14.25" customHeight="1" thickBot="1">
      <c r="A118" s="30" t="s">
        <v>3</v>
      </c>
      <c r="B118" s="141" t="s">
        <v>31</v>
      </c>
      <c r="C118" s="142"/>
      <c r="D118" s="42">
        <f>D63</f>
        <v>1140.7405330000001</v>
      </c>
      <c r="G118" s="43">
        <f>ROUND((G116/F117),2)</f>
        <v>3141.05</v>
      </c>
    </row>
    <row r="119" spans="1:7" s="63" customFormat="1" ht="14.25" customHeight="1" thickBot="1">
      <c r="A119" s="30" t="s">
        <v>5</v>
      </c>
      <c r="B119" s="141" t="s">
        <v>59</v>
      </c>
      <c r="C119" s="142"/>
      <c r="D119" s="42">
        <f>D73</f>
        <v>84.421648000000005</v>
      </c>
    </row>
    <row r="120" spans="1:7" s="63" customFormat="1" ht="14.25" customHeight="1" thickBot="1">
      <c r="A120" s="30" t="s">
        <v>7</v>
      </c>
      <c r="B120" s="141" t="s">
        <v>67</v>
      </c>
      <c r="C120" s="142"/>
      <c r="D120" s="42">
        <f>D95</f>
        <v>30.238500000000002</v>
      </c>
    </row>
    <row r="121" spans="1:7" s="63" customFormat="1" ht="14.25" customHeight="1" thickBot="1">
      <c r="A121" s="30" t="s">
        <v>26</v>
      </c>
      <c r="B121" s="153" t="s">
        <v>83</v>
      </c>
      <c r="C121" s="142"/>
      <c r="D121" s="42">
        <f>D103</f>
        <v>27</v>
      </c>
    </row>
    <row r="122" spans="1:7" s="63" customFormat="1" ht="14.25" customHeight="1" thickBot="1">
      <c r="A122" s="147" t="s">
        <v>98</v>
      </c>
      <c r="B122" s="150"/>
      <c r="C122" s="148"/>
      <c r="D122" s="42">
        <f>SUM(D117:D121)</f>
        <v>2608.6506810000001</v>
      </c>
    </row>
    <row r="123" spans="1:7" s="63" customFormat="1" ht="14.25" customHeight="1" thickBot="1">
      <c r="A123" s="12" t="s">
        <v>46</v>
      </c>
      <c r="B123" s="170" t="s">
        <v>99</v>
      </c>
      <c r="C123" s="148"/>
      <c r="D123" s="42">
        <f>D113</f>
        <v>532.40000000000009</v>
      </c>
    </row>
    <row r="124" spans="1:7" s="63" customFormat="1" ht="14.25" customHeight="1" thickBot="1">
      <c r="A124" s="173" t="s">
        <v>100</v>
      </c>
      <c r="B124" s="150"/>
      <c r="C124" s="148"/>
      <c r="D124" s="45">
        <f>ROUND((SUM(D122:D123)),2)</f>
        <v>3141.05</v>
      </c>
      <c r="F124" s="43"/>
    </row>
    <row r="125" spans="1:7" s="63" customFormat="1" ht="15" customHeight="1">
      <c r="A125" s="37"/>
      <c r="B125" s="37"/>
      <c r="C125" s="37"/>
      <c r="D125" s="38"/>
    </row>
    <row r="126" spans="1:7" s="63" customFormat="1" ht="15" customHeight="1">
      <c r="A126" s="174"/>
      <c r="B126" s="175"/>
      <c r="C126" s="175"/>
      <c r="D126" s="175"/>
      <c r="E126" s="176"/>
    </row>
    <row r="127" spans="1:7" s="63" customFormat="1" ht="15" customHeight="1">
      <c r="A127" s="31"/>
      <c r="B127" s="31"/>
      <c r="C127" s="31"/>
      <c r="D127" s="31"/>
      <c r="E127" s="31"/>
    </row>
    <row r="128" spans="1:7" s="63" customFormat="1" ht="15" customHeight="1">
      <c r="A128" s="31"/>
      <c r="B128" s="31"/>
      <c r="C128" s="31"/>
      <c r="D128" s="31"/>
      <c r="E128" s="31"/>
    </row>
    <row r="129" spans="1:5" s="63" customFormat="1" ht="15" customHeight="1">
      <c r="A129" s="32"/>
      <c r="B129" s="31"/>
      <c r="C129" s="31"/>
      <c r="D129" s="31"/>
      <c r="E129" s="31"/>
    </row>
    <row r="130" spans="1:5" s="63" customFormat="1" ht="15" customHeight="1">
      <c r="A130" s="32"/>
      <c r="B130" s="31"/>
      <c r="C130" s="31"/>
      <c r="D130" s="31"/>
      <c r="E130" s="31"/>
    </row>
    <row r="131" spans="1:5" s="63" customFormat="1" ht="15" customHeight="1">
      <c r="A131" s="32"/>
      <c r="B131" s="31"/>
      <c r="C131" s="31"/>
      <c r="D131" s="31"/>
      <c r="E131" s="31"/>
    </row>
    <row r="132" spans="1:5" s="63" customFormat="1" ht="15" customHeight="1">
      <c r="A132" s="32"/>
      <c r="B132" s="31"/>
      <c r="C132" s="31"/>
      <c r="D132" s="31"/>
      <c r="E132" s="31"/>
    </row>
    <row r="133" spans="1:5" s="63" customFormat="1" ht="15" customHeight="1">
      <c r="A133" s="32"/>
      <c r="B133" s="31"/>
      <c r="C133" s="31"/>
      <c r="D133" s="31"/>
      <c r="E133" s="31"/>
    </row>
  </sheetData>
  <mergeCells count="95">
    <mergeCell ref="A1:D1"/>
    <mergeCell ref="A10:B10"/>
    <mergeCell ref="A11:B11"/>
    <mergeCell ref="B22:C22"/>
    <mergeCell ref="C13:D13"/>
    <mergeCell ref="C14:D14"/>
    <mergeCell ref="C15:D15"/>
    <mergeCell ref="A3:D3"/>
    <mergeCell ref="C4:D4"/>
    <mergeCell ref="C5:D5"/>
    <mergeCell ref="C6:D6"/>
    <mergeCell ref="C7:D7"/>
    <mergeCell ref="A9:D9"/>
    <mergeCell ref="C16:D16"/>
    <mergeCell ref="C17:D17"/>
    <mergeCell ref="A19:D19"/>
    <mergeCell ref="B20:C20"/>
    <mergeCell ref="B21:C21"/>
    <mergeCell ref="A35:C35"/>
    <mergeCell ref="B23:C23"/>
    <mergeCell ref="B24:C24"/>
    <mergeCell ref="B25:C25"/>
    <mergeCell ref="B26:C26"/>
    <mergeCell ref="B27:C27"/>
    <mergeCell ref="A28:C28"/>
    <mergeCell ref="A30:D30"/>
    <mergeCell ref="A31:D31"/>
    <mergeCell ref="B32:C32"/>
    <mergeCell ref="B33:C33"/>
    <mergeCell ref="B34:C34"/>
    <mergeCell ref="B59:C59"/>
    <mergeCell ref="A37:D37"/>
    <mergeCell ref="A47:B47"/>
    <mergeCell ref="A49:D49"/>
    <mergeCell ref="B50:C50"/>
    <mergeCell ref="B51:C51"/>
    <mergeCell ref="B52:C52"/>
    <mergeCell ref="B53:C53"/>
    <mergeCell ref="B54:C54"/>
    <mergeCell ref="B55:C55"/>
    <mergeCell ref="A56:C56"/>
    <mergeCell ref="A58:D58"/>
    <mergeCell ref="B72:C72"/>
    <mergeCell ref="B60:C60"/>
    <mergeCell ref="B61:C61"/>
    <mergeCell ref="B62:C62"/>
    <mergeCell ref="A63:C63"/>
    <mergeCell ref="A65:D65"/>
    <mergeCell ref="B66:C66"/>
    <mergeCell ref="B67:C67"/>
    <mergeCell ref="B68:C68"/>
    <mergeCell ref="B69:C69"/>
    <mergeCell ref="B70:C70"/>
    <mergeCell ref="B71:C71"/>
    <mergeCell ref="A86:D86"/>
    <mergeCell ref="A73:C73"/>
    <mergeCell ref="A75:D75"/>
    <mergeCell ref="A76:D76"/>
    <mergeCell ref="B77:C77"/>
    <mergeCell ref="B78:C78"/>
    <mergeCell ref="B79:C79"/>
    <mergeCell ref="B80:C80"/>
    <mergeCell ref="B81:C81"/>
    <mergeCell ref="B82:C82"/>
    <mergeCell ref="B83:C83"/>
    <mergeCell ref="A84:C84"/>
    <mergeCell ref="B100:C100"/>
    <mergeCell ref="B87:C87"/>
    <mergeCell ref="B88:C88"/>
    <mergeCell ref="A89:C89"/>
    <mergeCell ref="A91:D91"/>
    <mergeCell ref="B92:C92"/>
    <mergeCell ref="B93:C93"/>
    <mergeCell ref="B94:C94"/>
    <mergeCell ref="A95:C95"/>
    <mergeCell ref="A97:D97"/>
    <mergeCell ref="B98:C98"/>
    <mergeCell ref="B99:C99"/>
    <mergeCell ref="B120:C120"/>
    <mergeCell ref="B101:C101"/>
    <mergeCell ref="B102:C102"/>
    <mergeCell ref="A103:C103"/>
    <mergeCell ref="A105:D105"/>
    <mergeCell ref="B109:D109"/>
    <mergeCell ref="A113:B113"/>
    <mergeCell ref="A115:D115"/>
    <mergeCell ref="B116:C116"/>
    <mergeCell ref="B117:C117"/>
    <mergeCell ref="B118:C118"/>
    <mergeCell ref="B119:C119"/>
    <mergeCell ref="B121:C121"/>
    <mergeCell ref="A122:C122"/>
    <mergeCell ref="B123:C123"/>
    <mergeCell ref="A124:C124"/>
    <mergeCell ref="A126:E126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4"/>
  <sheetViews>
    <sheetView showGridLines="0" zoomScaleNormal="100" workbookViewId="0">
      <selection activeCell="C15" sqref="C15:D15"/>
    </sheetView>
  </sheetViews>
  <sheetFormatPr defaultColWidth="12.625" defaultRowHeight="15" customHeight="1"/>
  <cols>
    <col min="1" max="1" width="8" style="35" customWidth="1"/>
    <col min="2" max="2" width="49.5" style="35" customWidth="1"/>
    <col min="3" max="3" width="15.5" style="35" customWidth="1"/>
    <col min="4" max="4" width="12.5" style="35" customWidth="1"/>
    <col min="5" max="16384" width="12.625" style="35"/>
  </cols>
  <sheetData>
    <row r="1" spans="1:4" ht="14.25" customHeight="1">
      <c r="A1" s="156"/>
      <c r="B1" s="157"/>
      <c r="C1" s="157"/>
      <c r="D1" s="157"/>
    </row>
    <row r="2" spans="1:4" ht="14.25" customHeight="1">
      <c r="A2" s="34"/>
      <c r="B2" s="34"/>
      <c r="C2" s="34"/>
      <c r="D2" s="34"/>
    </row>
    <row r="3" spans="1:4" ht="14.25" customHeight="1" thickBot="1">
      <c r="A3" s="143" t="s">
        <v>0</v>
      </c>
      <c r="B3" s="144"/>
      <c r="C3" s="144"/>
      <c r="D3" s="144"/>
    </row>
    <row r="4" spans="1:4" ht="14.25" customHeight="1" thickBot="1">
      <c r="A4" s="9" t="s">
        <v>1</v>
      </c>
      <c r="B4" s="10" t="s">
        <v>2</v>
      </c>
      <c r="C4" s="158">
        <v>44692</v>
      </c>
      <c r="D4" s="163"/>
    </row>
    <row r="5" spans="1:4" ht="14.25" customHeight="1" thickBot="1">
      <c r="A5" s="9" t="s">
        <v>3</v>
      </c>
      <c r="B5" s="10" t="s">
        <v>4</v>
      </c>
      <c r="C5" s="158" t="str">
        <f>RECEPCIONISTA!C5</f>
        <v>Recife / PE</v>
      </c>
      <c r="D5" s="163"/>
    </row>
    <row r="6" spans="1:4" ht="14.25" customHeight="1" thickBot="1">
      <c r="A6" s="9" t="s">
        <v>5</v>
      </c>
      <c r="B6" s="10" t="s">
        <v>6</v>
      </c>
      <c r="C6" s="154" t="str">
        <f>RECEPCIONISTA!C6</f>
        <v>PE000089/2022</v>
      </c>
      <c r="D6" s="148"/>
    </row>
    <row r="7" spans="1:4" ht="14.25" customHeight="1" thickBot="1">
      <c r="A7" s="9" t="s">
        <v>7</v>
      </c>
      <c r="B7" s="10" t="s">
        <v>8</v>
      </c>
      <c r="C7" s="154">
        <v>12</v>
      </c>
      <c r="D7" s="148"/>
    </row>
    <row r="8" spans="1:4" ht="14.25" customHeight="1">
      <c r="A8" s="34"/>
      <c r="B8" s="34"/>
      <c r="C8" s="34"/>
      <c r="D8" s="34"/>
    </row>
    <row r="9" spans="1:4" ht="14.25" customHeight="1" thickBot="1">
      <c r="A9" s="143" t="s">
        <v>9</v>
      </c>
      <c r="B9" s="144"/>
      <c r="C9" s="144"/>
      <c r="D9" s="144"/>
    </row>
    <row r="10" spans="1:4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4" ht="14.25" customHeight="1" thickBot="1">
      <c r="A11" s="154" t="s">
        <v>144</v>
      </c>
      <c r="B11" s="148"/>
      <c r="C11" s="9" t="s">
        <v>141</v>
      </c>
      <c r="D11" s="9">
        <v>1</v>
      </c>
    </row>
    <row r="12" spans="1:4" ht="14.25" customHeight="1" thickBot="1">
      <c r="A12" s="34"/>
      <c r="B12" s="34"/>
      <c r="C12" s="34"/>
      <c r="D12" s="34"/>
    </row>
    <row r="13" spans="1:4" ht="14.25" customHeight="1" thickBot="1">
      <c r="A13" s="9">
        <v>1</v>
      </c>
      <c r="B13" s="10" t="s">
        <v>14</v>
      </c>
      <c r="C13" s="154" t="str">
        <f>A11</f>
        <v>Portaria 12 horas noturnas</v>
      </c>
      <c r="D13" s="148"/>
    </row>
    <row r="14" spans="1:4" ht="14.25" customHeight="1" thickBot="1">
      <c r="A14" s="9">
        <v>2</v>
      </c>
      <c r="B14" s="10" t="s">
        <v>15</v>
      </c>
      <c r="C14" s="154" t="s">
        <v>353</v>
      </c>
      <c r="D14" s="148"/>
    </row>
    <row r="15" spans="1:4" ht="14.25" customHeight="1" thickBot="1">
      <c r="A15" s="9">
        <v>3</v>
      </c>
      <c r="B15" s="10" t="s">
        <v>16</v>
      </c>
      <c r="C15" s="160"/>
      <c r="D15" s="161"/>
    </row>
    <row r="16" spans="1:4" ht="14.25" customHeight="1" thickBot="1">
      <c r="A16" s="9">
        <v>4</v>
      </c>
      <c r="B16" s="10" t="s">
        <v>17</v>
      </c>
      <c r="C16" s="154" t="s">
        <v>128</v>
      </c>
      <c r="D16" s="148"/>
    </row>
    <row r="17" spans="1:8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8" ht="14.25" customHeight="1">
      <c r="A18" s="34"/>
      <c r="B18" s="34"/>
      <c r="C18" s="34"/>
      <c r="D18" s="34"/>
    </row>
    <row r="19" spans="1:8" ht="14.25" customHeight="1" thickBot="1">
      <c r="A19" s="143" t="s">
        <v>19</v>
      </c>
      <c r="B19" s="144"/>
      <c r="C19" s="144"/>
      <c r="D19" s="144"/>
    </row>
    <row r="20" spans="1:8" s="63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8" s="63" customFormat="1" ht="14.25" customHeight="1" thickBot="1">
      <c r="A21" s="14" t="s">
        <v>1</v>
      </c>
      <c r="B21" s="141" t="s">
        <v>146</v>
      </c>
      <c r="C21" s="142"/>
      <c r="D21" s="41">
        <f>C15*2</f>
        <v>0</v>
      </c>
    </row>
    <row r="22" spans="1:8" s="63" customFormat="1" ht="14.25" customHeight="1" thickBot="1">
      <c r="A22" s="14" t="s">
        <v>3</v>
      </c>
      <c r="B22" s="141" t="s">
        <v>23</v>
      </c>
      <c r="C22" s="142"/>
      <c r="D22" s="41"/>
    </row>
    <row r="23" spans="1:8" s="63" customFormat="1" ht="14.25" customHeight="1" thickBot="1">
      <c r="A23" s="14" t="s">
        <v>5</v>
      </c>
      <c r="B23" s="141" t="s">
        <v>24</v>
      </c>
      <c r="C23" s="142"/>
      <c r="D23" s="41"/>
    </row>
    <row r="24" spans="1:8" s="63" customFormat="1" ht="14.25" customHeight="1" thickBot="1">
      <c r="A24" s="14" t="s">
        <v>7</v>
      </c>
      <c r="B24" s="141" t="s">
        <v>25</v>
      </c>
      <c r="C24" s="142"/>
      <c r="D24" s="41">
        <f>G24*8*30.44</f>
        <v>0</v>
      </c>
      <c r="F24" s="60">
        <f>C15/220</f>
        <v>0</v>
      </c>
      <c r="G24" s="60">
        <f>F24*20%</f>
        <v>0</v>
      </c>
    </row>
    <row r="25" spans="1:8" s="63" customFormat="1" ht="14.25" customHeight="1" thickBot="1">
      <c r="A25" s="14" t="s">
        <v>26</v>
      </c>
      <c r="B25" s="141" t="s">
        <v>27</v>
      </c>
      <c r="C25" s="142"/>
      <c r="D25" s="41">
        <f>H25*30.44</f>
        <v>0</v>
      </c>
      <c r="F25" s="60"/>
      <c r="G25" s="60">
        <f>F24*50%</f>
        <v>0</v>
      </c>
      <c r="H25" s="46">
        <f>F24+G25</f>
        <v>0</v>
      </c>
    </row>
    <row r="26" spans="1:8" s="63" customFormat="1" ht="14.25" customHeight="1" thickBot="1">
      <c r="A26" s="14" t="s">
        <v>46</v>
      </c>
      <c r="B26" s="141"/>
      <c r="C26" s="142"/>
      <c r="D26" s="41"/>
      <c r="F26" s="60"/>
      <c r="G26" s="60"/>
    </row>
    <row r="27" spans="1:8" s="63" customFormat="1" ht="14.25" customHeight="1" thickBot="1">
      <c r="A27" s="14" t="s">
        <v>28</v>
      </c>
      <c r="B27" s="153" t="s">
        <v>131</v>
      </c>
      <c r="C27" s="142"/>
      <c r="D27" s="41">
        <f>(D24+D25)/25*5</f>
        <v>0</v>
      </c>
      <c r="F27" s="60"/>
      <c r="G27" s="60"/>
    </row>
    <row r="28" spans="1:8" s="63" customFormat="1" ht="14.25" customHeight="1" thickBot="1">
      <c r="A28" s="147" t="s">
        <v>30</v>
      </c>
      <c r="B28" s="150"/>
      <c r="C28" s="148"/>
      <c r="D28" s="42">
        <f>SUM(D21:D27)</f>
        <v>0</v>
      </c>
      <c r="E28" s="43">
        <f>5434.4-D21</f>
        <v>5434.4</v>
      </c>
    </row>
    <row r="29" spans="1:8" s="63" customFormat="1" ht="14.25" customHeight="1">
      <c r="A29" s="62"/>
      <c r="B29" s="62"/>
      <c r="C29" s="62"/>
      <c r="D29" s="62"/>
    </row>
    <row r="30" spans="1:8" s="63" customFormat="1" ht="14.25" customHeight="1">
      <c r="A30" s="143" t="s">
        <v>31</v>
      </c>
      <c r="B30" s="144"/>
      <c r="C30" s="144"/>
      <c r="D30" s="144"/>
    </row>
    <row r="31" spans="1:8" s="63" customFormat="1" ht="14.25" customHeight="1" thickBot="1">
      <c r="A31" s="151" t="s">
        <v>32</v>
      </c>
      <c r="B31" s="144"/>
      <c r="C31" s="144"/>
      <c r="D31" s="144"/>
    </row>
    <row r="32" spans="1:8" s="63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63" customFormat="1" ht="14.25" customHeight="1" thickBot="1">
      <c r="A33" s="14" t="s">
        <v>1</v>
      </c>
      <c r="B33" s="141" t="s">
        <v>35</v>
      </c>
      <c r="C33" s="142"/>
      <c r="D33" s="42">
        <f>D28*8.33%</f>
        <v>0</v>
      </c>
    </row>
    <row r="34" spans="1:7" s="63" customFormat="1" ht="14.25" customHeight="1" thickBot="1">
      <c r="A34" s="14" t="s">
        <v>3</v>
      </c>
      <c r="B34" s="153" t="s">
        <v>36</v>
      </c>
      <c r="C34" s="142"/>
      <c r="D34" s="42">
        <f>D28*12.1%</f>
        <v>0</v>
      </c>
    </row>
    <row r="35" spans="1:7" s="63" customFormat="1" ht="14.25" customHeight="1" thickBot="1">
      <c r="A35" s="147" t="s">
        <v>30</v>
      </c>
      <c r="B35" s="150"/>
      <c r="C35" s="148"/>
      <c r="D35" s="42">
        <f>SUM(D33:D34)</f>
        <v>0</v>
      </c>
      <c r="E35" s="43"/>
    </row>
    <row r="36" spans="1:7" s="63" customFormat="1" ht="14.25" customHeight="1">
      <c r="A36" s="62"/>
      <c r="B36" s="62"/>
      <c r="C36" s="62"/>
      <c r="D36" s="62"/>
    </row>
    <row r="37" spans="1:7" s="63" customFormat="1" ht="32.25" customHeight="1" thickBot="1">
      <c r="A37" s="171" t="s">
        <v>37</v>
      </c>
      <c r="B37" s="144"/>
      <c r="C37" s="144"/>
      <c r="D37" s="144"/>
    </row>
    <row r="38" spans="1:7" s="63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63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0</v>
      </c>
      <c r="G39" s="46">
        <f>D35+D28</f>
        <v>0</v>
      </c>
    </row>
    <row r="40" spans="1:7" s="63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0</v>
      </c>
    </row>
    <row r="41" spans="1:7" s="63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0</v>
      </c>
    </row>
    <row r="42" spans="1:7" s="63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0</v>
      </c>
    </row>
    <row r="43" spans="1:7" s="63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0</v>
      </c>
    </row>
    <row r="44" spans="1:7" s="63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0</v>
      </c>
    </row>
    <row r="45" spans="1:7" s="63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0</v>
      </c>
    </row>
    <row r="46" spans="1:7" s="63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0</v>
      </c>
    </row>
    <row r="47" spans="1:7" s="63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0</v>
      </c>
    </row>
    <row r="48" spans="1:7" s="63" customFormat="1" ht="14.25" customHeight="1">
      <c r="A48" s="62"/>
      <c r="B48" s="62"/>
      <c r="C48" s="62"/>
      <c r="D48" s="62"/>
    </row>
    <row r="49" spans="1:5" s="63" customFormat="1" ht="14.25" customHeight="1" thickBot="1">
      <c r="A49" s="172" t="s">
        <v>52</v>
      </c>
      <c r="B49" s="144"/>
      <c r="C49" s="144"/>
      <c r="D49" s="144"/>
    </row>
    <row r="50" spans="1:5" s="63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5" s="63" customFormat="1" ht="14.25" customHeight="1" thickBot="1">
      <c r="A51" s="14" t="s">
        <v>1</v>
      </c>
      <c r="B51" s="165" t="s">
        <v>55</v>
      </c>
      <c r="C51" s="148"/>
      <c r="D51" s="41"/>
      <c r="E51" s="43">
        <f>D51*2</f>
        <v>0</v>
      </c>
    </row>
    <row r="52" spans="1:5" s="63" customFormat="1" ht="14.25" customHeight="1" thickBot="1">
      <c r="A52" s="14" t="s">
        <v>3</v>
      </c>
      <c r="B52" s="165" t="s">
        <v>56</v>
      </c>
      <c r="C52" s="148"/>
      <c r="D52" s="44"/>
      <c r="E52" s="43">
        <f t="shared" ref="E52:E55" si="1">D52*2</f>
        <v>0</v>
      </c>
    </row>
    <row r="53" spans="1:5" s="63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ASG!D53*2</f>
        <v>0</v>
      </c>
      <c r="E53" s="43">
        <f t="shared" si="1"/>
        <v>0</v>
      </c>
    </row>
    <row r="54" spans="1:5" s="63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ASG!D54*2</f>
        <v>0</v>
      </c>
      <c r="E54" s="43">
        <f t="shared" si="1"/>
        <v>0</v>
      </c>
    </row>
    <row r="55" spans="1:5" s="63" customFormat="1" ht="14.25" customHeight="1" thickBot="1">
      <c r="A55" s="21" t="s">
        <v>26</v>
      </c>
      <c r="B55" s="166" t="str">
        <f>ASG!B55</f>
        <v>Cesta básica</v>
      </c>
      <c r="C55" s="148"/>
      <c r="D55" s="44">
        <f>ASG!D55*2</f>
        <v>0</v>
      </c>
      <c r="E55" s="43">
        <f t="shared" si="1"/>
        <v>0</v>
      </c>
    </row>
    <row r="56" spans="1:5" s="63" customFormat="1" ht="14.25" customHeight="1" thickBot="1">
      <c r="A56" s="147" t="s">
        <v>30</v>
      </c>
      <c r="B56" s="150"/>
      <c r="C56" s="148"/>
      <c r="D56" s="41">
        <f>SUM(D51:D55)</f>
        <v>0</v>
      </c>
    </row>
    <row r="57" spans="1:5" s="63" customFormat="1" ht="14.25" customHeight="1">
      <c r="A57" s="62"/>
      <c r="B57" s="62"/>
      <c r="C57" s="62"/>
      <c r="D57" s="62"/>
    </row>
    <row r="58" spans="1:5" s="63" customFormat="1" ht="14.25" customHeight="1" thickBot="1">
      <c r="A58" s="151" t="s">
        <v>57</v>
      </c>
      <c r="B58" s="144"/>
      <c r="C58" s="144"/>
      <c r="D58" s="144"/>
    </row>
    <row r="59" spans="1:5" s="63" customFormat="1" ht="14.25" customHeight="1" thickBot="1">
      <c r="A59" s="12">
        <v>2</v>
      </c>
      <c r="B59" s="149" t="s">
        <v>58</v>
      </c>
      <c r="C59" s="148"/>
      <c r="D59" s="13" t="s">
        <v>21</v>
      </c>
    </row>
    <row r="60" spans="1:5" s="63" customFormat="1" ht="14.25" customHeight="1" thickBot="1">
      <c r="A60" s="14" t="s">
        <v>33</v>
      </c>
      <c r="B60" s="165" t="s">
        <v>34</v>
      </c>
      <c r="C60" s="148"/>
      <c r="D60" s="41">
        <f>D35</f>
        <v>0</v>
      </c>
    </row>
    <row r="61" spans="1:5" s="63" customFormat="1" ht="14.25" customHeight="1" thickBot="1">
      <c r="A61" s="14" t="s">
        <v>38</v>
      </c>
      <c r="B61" s="165" t="s">
        <v>39</v>
      </c>
      <c r="C61" s="148"/>
      <c r="D61" s="41">
        <f>D47</f>
        <v>0</v>
      </c>
    </row>
    <row r="62" spans="1:5" s="63" customFormat="1" ht="14.25" customHeight="1" thickBot="1">
      <c r="A62" s="22" t="s">
        <v>53</v>
      </c>
      <c r="B62" s="170" t="s">
        <v>54</v>
      </c>
      <c r="C62" s="148"/>
      <c r="D62" s="41">
        <f>D56</f>
        <v>0</v>
      </c>
    </row>
    <row r="63" spans="1:5" s="63" customFormat="1" ht="14.25" customHeight="1" thickBot="1">
      <c r="A63" s="147" t="s">
        <v>30</v>
      </c>
      <c r="B63" s="150"/>
      <c r="C63" s="148"/>
      <c r="D63" s="41">
        <f>SUM(D60:D62)</f>
        <v>0</v>
      </c>
    </row>
    <row r="64" spans="1:5" s="63" customFormat="1" ht="14.25" customHeight="1">
      <c r="A64" s="6"/>
      <c r="B64" s="62"/>
      <c r="C64" s="62"/>
      <c r="D64" s="62"/>
    </row>
    <row r="65" spans="1:7" s="63" customFormat="1" ht="14.25" customHeight="1" thickBot="1">
      <c r="A65" s="143" t="s">
        <v>59</v>
      </c>
      <c r="B65" s="144"/>
      <c r="C65" s="144"/>
      <c r="D65" s="144"/>
    </row>
    <row r="66" spans="1:7" s="63" customFormat="1" ht="14.25" customHeight="1" thickBot="1">
      <c r="A66" s="12">
        <v>3</v>
      </c>
      <c r="B66" s="149" t="s">
        <v>60</v>
      </c>
      <c r="C66" s="148"/>
      <c r="D66" s="13" t="s">
        <v>21</v>
      </c>
    </row>
    <row r="67" spans="1:7" s="63" customFormat="1" ht="14.25" customHeight="1" thickBot="1">
      <c r="A67" s="14" t="s">
        <v>1</v>
      </c>
      <c r="B67" s="141" t="s">
        <v>61</v>
      </c>
      <c r="C67" s="142"/>
      <c r="D67" s="41">
        <f>$D$28*0.46%</f>
        <v>0</v>
      </c>
    </row>
    <row r="68" spans="1:7" s="63" customFormat="1" ht="14.25" customHeight="1" thickBot="1">
      <c r="A68" s="14" t="s">
        <v>3</v>
      </c>
      <c r="B68" s="141" t="s">
        <v>62</v>
      </c>
      <c r="C68" s="142"/>
      <c r="D68" s="41">
        <f>D67*C46</f>
        <v>0</v>
      </c>
    </row>
    <row r="69" spans="1:7" s="63" customFormat="1" ht="14.25" customHeight="1" thickBot="1">
      <c r="A69" s="14" t="s">
        <v>5</v>
      </c>
      <c r="B69" s="152" t="s">
        <v>63</v>
      </c>
      <c r="C69" s="142"/>
      <c r="D69" s="41">
        <f>D67*8%*40%</f>
        <v>0</v>
      </c>
    </row>
    <row r="70" spans="1:7" s="63" customFormat="1" ht="14.25" customHeight="1" thickBot="1">
      <c r="A70" s="14" t="s">
        <v>7</v>
      </c>
      <c r="B70" s="141" t="s">
        <v>64</v>
      </c>
      <c r="C70" s="142"/>
      <c r="D70" s="41">
        <f>$D$28*1.94%</f>
        <v>0</v>
      </c>
    </row>
    <row r="71" spans="1:7" s="63" customFormat="1" ht="14.25" customHeight="1" thickBot="1">
      <c r="A71" s="23" t="s">
        <v>26</v>
      </c>
      <c r="B71" s="168" t="s">
        <v>65</v>
      </c>
      <c r="C71" s="169"/>
      <c r="D71" s="41">
        <f>D70*C47</f>
        <v>0</v>
      </c>
    </row>
    <row r="72" spans="1:7" s="63" customFormat="1" ht="14.25" customHeight="1" thickBot="1">
      <c r="A72" s="22" t="s">
        <v>46</v>
      </c>
      <c r="B72" s="167" t="s">
        <v>66</v>
      </c>
      <c r="C72" s="148"/>
      <c r="D72" s="41">
        <f>$D$28*3.2%</f>
        <v>0</v>
      </c>
    </row>
    <row r="73" spans="1:7" s="63" customFormat="1" ht="14.25" customHeight="1" thickBot="1">
      <c r="A73" s="147" t="s">
        <v>30</v>
      </c>
      <c r="B73" s="150"/>
      <c r="C73" s="148"/>
      <c r="D73" s="42">
        <f>SUM(D67:D72)</f>
        <v>0</v>
      </c>
      <c r="E73" s="43">
        <f>345.92-D73</f>
        <v>345.92</v>
      </c>
    </row>
    <row r="74" spans="1:7" s="63" customFormat="1" ht="14.25" customHeight="1">
      <c r="A74" s="62"/>
      <c r="B74" s="62"/>
      <c r="C74" s="62"/>
      <c r="D74" s="62"/>
    </row>
    <row r="75" spans="1:7" s="63" customFormat="1" ht="14.25" customHeight="1">
      <c r="A75" s="143" t="s">
        <v>67</v>
      </c>
      <c r="B75" s="144"/>
      <c r="C75" s="144"/>
      <c r="D75" s="144"/>
    </row>
    <row r="76" spans="1:7" s="63" customFormat="1" ht="14.25" customHeight="1" thickBot="1">
      <c r="A76" s="151" t="s">
        <v>68</v>
      </c>
      <c r="B76" s="144"/>
      <c r="C76" s="144"/>
      <c r="D76" s="144"/>
    </row>
    <row r="77" spans="1:7" s="63" customFormat="1" ht="14.25" customHeight="1" thickBot="1">
      <c r="A77" s="12" t="s">
        <v>69</v>
      </c>
      <c r="B77" s="149" t="s">
        <v>70</v>
      </c>
      <c r="C77" s="148"/>
      <c r="D77" s="13" t="s">
        <v>21</v>
      </c>
    </row>
    <row r="78" spans="1:7" s="63" customFormat="1" ht="14.25" customHeight="1" thickBot="1">
      <c r="A78" s="14" t="s">
        <v>1</v>
      </c>
      <c r="B78" s="152" t="s">
        <v>71</v>
      </c>
      <c r="C78" s="142"/>
      <c r="D78" s="41">
        <f>D28*1.62%</f>
        <v>0</v>
      </c>
      <c r="G78" s="43">
        <f>D28+D63+D73</f>
        <v>0</v>
      </c>
    </row>
    <row r="79" spans="1:7" s="63" customFormat="1" ht="14.25" customHeight="1" thickBot="1">
      <c r="A79" s="14" t="s">
        <v>3</v>
      </c>
      <c r="B79" s="152" t="s">
        <v>72</v>
      </c>
      <c r="C79" s="142"/>
      <c r="D79" s="41">
        <f>D28*0.28%</f>
        <v>0</v>
      </c>
    </row>
    <row r="80" spans="1:7" s="63" customFormat="1" ht="14.25" customHeight="1" thickBot="1">
      <c r="A80" s="14" t="s">
        <v>5</v>
      </c>
      <c r="B80" s="152" t="s">
        <v>73</v>
      </c>
      <c r="C80" s="142"/>
      <c r="D80" s="41">
        <f>D28*0.08%</f>
        <v>0</v>
      </c>
    </row>
    <row r="81" spans="1:5" s="63" customFormat="1" ht="14.25" customHeight="1" thickBot="1">
      <c r="A81" s="14" t="s">
        <v>7</v>
      </c>
      <c r="B81" s="141" t="s">
        <v>74</v>
      </c>
      <c r="C81" s="142"/>
      <c r="D81" s="41">
        <f>D28*0.27%</f>
        <v>0</v>
      </c>
    </row>
    <row r="82" spans="1:5" s="63" customFormat="1" ht="14.25" customHeight="1" thickBot="1">
      <c r="A82" s="14" t="s">
        <v>26</v>
      </c>
      <c r="B82" s="177" t="s">
        <v>75</v>
      </c>
      <c r="C82" s="142"/>
      <c r="D82" s="41">
        <f>D28*0.03%</f>
        <v>0</v>
      </c>
    </row>
    <row r="83" spans="1:5" s="63" customFormat="1" ht="14.25" customHeight="1" thickBot="1">
      <c r="A83" s="14" t="s">
        <v>46</v>
      </c>
      <c r="B83" s="178" t="s">
        <v>76</v>
      </c>
      <c r="C83" s="142"/>
      <c r="D83" s="41"/>
    </row>
    <row r="84" spans="1:5" s="63" customFormat="1" ht="14.25" customHeight="1" thickBot="1">
      <c r="A84" s="147" t="s">
        <v>51</v>
      </c>
      <c r="B84" s="150"/>
      <c r="C84" s="148"/>
      <c r="D84" s="41">
        <f>SUM(D78:D83)</f>
        <v>0</v>
      </c>
      <c r="E84" s="43">
        <f>123.9-D84</f>
        <v>123.9</v>
      </c>
    </row>
    <row r="85" spans="1:5" s="63" customFormat="1" ht="14.25" customHeight="1">
      <c r="A85" s="62"/>
      <c r="B85" s="62"/>
      <c r="C85" s="62"/>
      <c r="D85" s="62"/>
    </row>
    <row r="86" spans="1:5" s="63" customFormat="1" ht="14.25" customHeight="1" thickBot="1">
      <c r="A86" s="151" t="s">
        <v>77</v>
      </c>
      <c r="B86" s="144"/>
      <c r="C86" s="144"/>
      <c r="D86" s="144"/>
    </row>
    <row r="87" spans="1:5" s="63" customFormat="1" ht="14.25" customHeight="1" thickBot="1">
      <c r="A87" s="12" t="s">
        <v>78</v>
      </c>
      <c r="B87" s="149" t="s">
        <v>79</v>
      </c>
      <c r="C87" s="148"/>
      <c r="D87" s="13" t="s">
        <v>21</v>
      </c>
    </row>
    <row r="88" spans="1:5" s="63" customFormat="1" ht="14.25" customHeight="1" thickBot="1">
      <c r="A88" s="14" t="s">
        <v>1</v>
      </c>
      <c r="B88" s="153" t="s">
        <v>80</v>
      </c>
      <c r="C88" s="142"/>
      <c r="D88" s="41"/>
      <c r="E88" s="63">
        <f>333.1/2</f>
        <v>166.55</v>
      </c>
    </row>
    <row r="89" spans="1:5" s="63" customFormat="1" ht="14.25" customHeight="1" thickBot="1">
      <c r="A89" s="147" t="s">
        <v>30</v>
      </c>
      <c r="B89" s="150"/>
      <c r="C89" s="148"/>
      <c r="D89" s="42">
        <f>D88</f>
        <v>0</v>
      </c>
    </row>
    <row r="90" spans="1:5" s="63" customFormat="1" ht="14.25" customHeight="1">
      <c r="A90" s="62"/>
      <c r="B90" s="62"/>
      <c r="C90" s="62"/>
      <c r="D90" s="62"/>
    </row>
    <row r="91" spans="1:5" s="63" customFormat="1" ht="14.25" customHeight="1" thickBot="1">
      <c r="A91" s="151" t="s">
        <v>81</v>
      </c>
      <c r="B91" s="144"/>
      <c r="C91" s="144"/>
      <c r="D91" s="144"/>
    </row>
    <row r="92" spans="1:5" s="63" customFormat="1" ht="14.25" customHeight="1" thickBot="1">
      <c r="A92" s="12">
        <v>4</v>
      </c>
      <c r="B92" s="149" t="s">
        <v>82</v>
      </c>
      <c r="C92" s="148"/>
      <c r="D92" s="13" t="s">
        <v>21</v>
      </c>
    </row>
    <row r="93" spans="1:5" s="63" customFormat="1" ht="14.25" customHeight="1" thickBot="1">
      <c r="A93" s="14" t="s">
        <v>69</v>
      </c>
      <c r="B93" s="141" t="s">
        <v>70</v>
      </c>
      <c r="C93" s="142"/>
      <c r="D93" s="41">
        <f>D84</f>
        <v>0</v>
      </c>
    </row>
    <row r="94" spans="1:5" s="63" customFormat="1" ht="14.25" customHeight="1" thickBot="1">
      <c r="A94" s="14" t="s">
        <v>78</v>
      </c>
      <c r="B94" s="153" t="s">
        <v>79</v>
      </c>
      <c r="C94" s="142"/>
      <c r="D94" s="41">
        <f>D89</f>
        <v>0</v>
      </c>
    </row>
    <row r="95" spans="1:5" s="63" customFormat="1" ht="14.25" customHeight="1" thickBot="1">
      <c r="A95" s="147" t="s">
        <v>30</v>
      </c>
      <c r="B95" s="150"/>
      <c r="C95" s="148"/>
      <c r="D95" s="41">
        <f>SUM(D93:D94)</f>
        <v>0</v>
      </c>
    </row>
    <row r="96" spans="1:5" s="63" customFormat="1" ht="14.25" customHeight="1">
      <c r="A96" s="62"/>
      <c r="B96" s="62"/>
      <c r="C96" s="62"/>
      <c r="D96" s="62"/>
    </row>
    <row r="97" spans="1:8" s="63" customFormat="1" ht="14.25" customHeight="1" thickBot="1">
      <c r="A97" s="143" t="s">
        <v>83</v>
      </c>
      <c r="B97" s="144"/>
      <c r="C97" s="144"/>
      <c r="D97" s="144"/>
    </row>
    <row r="98" spans="1:8" s="63" customFormat="1" ht="14.25" customHeight="1" thickBot="1">
      <c r="A98" s="12">
        <v>5</v>
      </c>
      <c r="B98" s="149" t="s">
        <v>84</v>
      </c>
      <c r="C98" s="148"/>
      <c r="D98" s="13" t="s">
        <v>21</v>
      </c>
    </row>
    <row r="99" spans="1:8" s="63" customFormat="1" ht="14.25" customHeight="1" thickBot="1">
      <c r="A99" s="14" t="s">
        <v>1</v>
      </c>
      <c r="B99" s="141" t="s">
        <v>85</v>
      </c>
      <c r="C99" s="142"/>
      <c r="D99" s="44"/>
    </row>
    <row r="100" spans="1:8" s="63" customFormat="1" ht="14.25" customHeight="1" thickBot="1">
      <c r="A100" s="14" t="s">
        <v>3</v>
      </c>
      <c r="B100" s="153" t="s">
        <v>86</v>
      </c>
      <c r="C100" s="142"/>
      <c r="D100" s="42">
        <v>0</v>
      </c>
    </row>
    <row r="101" spans="1:8" s="63" customFormat="1" ht="14.25" customHeight="1" thickBot="1">
      <c r="A101" s="22" t="s">
        <v>5</v>
      </c>
      <c r="B101" s="170" t="s">
        <v>102</v>
      </c>
      <c r="C101" s="148"/>
      <c r="D101" s="42">
        <f>ASG!D101*2</f>
        <v>0</v>
      </c>
    </row>
    <row r="102" spans="1:8" s="63" customFormat="1" ht="14.25" customHeight="1" thickBot="1">
      <c r="A102" s="22" t="s">
        <v>7</v>
      </c>
      <c r="B102" s="167" t="s">
        <v>87</v>
      </c>
      <c r="C102" s="148"/>
      <c r="D102" s="42"/>
    </row>
    <row r="103" spans="1:8" s="63" customFormat="1" ht="14.25" customHeight="1" thickBot="1">
      <c r="A103" s="147" t="s">
        <v>51</v>
      </c>
      <c r="B103" s="150"/>
      <c r="C103" s="148"/>
      <c r="D103" s="42">
        <f>SUM(D99:D102)</f>
        <v>0</v>
      </c>
    </row>
    <row r="104" spans="1:8" s="63" customFormat="1" ht="14.25" customHeight="1">
      <c r="A104" s="62"/>
      <c r="B104" s="62"/>
      <c r="C104" s="62"/>
      <c r="D104" s="62"/>
    </row>
    <row r="105" spans="1:8" s="63" customFormat="1" ht="14.25" customHeight="1" thickBot="1">
      <c r="A105" s="143" t="s">
        <v>88</v>
      </c>
      <c r="B105" s="144"/>
      <c r="C105" s="144"/>
      <c r="D105" s="144"/>
    </row>
    <row r="106" spans="1:8" s="63" customFormat="1" ht="14.25" customHeight="1" thickBot="1">
      <c r="A106" s="12">
        <v>6</v>
      </c>
      <c r="B106" s="24" t="s">
        <v>89</v>
      </c>
      <c r="C106" s="25" t="s">
        <v>90</v>
      </c>
      <c r="D106" s="13" t="s">
        <v>21</v>
      </c>
    </row>
    <row r="107" spans="1:8" s="63" customFormat="1" ht="14.25" customHeight="1" thickBot="1">
      <c r="A107" s="14" t="s">
        <v>1</v>
      </c>
      <c r="B107" s="17" t="s">
        <v>91</v>
      </c>
      <c r="C107" s="19">
        <f>ASG!C107</f>
        <v>0.03</v>
      </c>
      <c r="D107" s="41">
        <f>ROUND((G107*C107),2)</f>
        <v>0</v>
      </c>
      <c r="G107" s="43">
        <f>G78+D95+D103</f>
        <v>0</v>
      </c>
    </row>
    <row r="108" spans="1:8" s="63" customFormat="1" ht="14.25" customHeight="1" thickBot="1">
      <c r="A108" s="14" t="s">
        <v>3</v>
      </c>
      <c r="B108" s="17" t="s">
        <v>92</v>
      </c>
      <c r="C108" s="19">
        <f>ASG!C108</f>
        <v>6.7900000000000002E-2</v>
      </c>
      <c r="D108" s="41">
        <f>ROUND((H108*C108),2)</f>
        <v>0</v>
      </c>
      <c r="H108" s="43">
        <f>G107+D107</f>
        <v>0</v>
      </c>
    </row>
    <row r="109" spans="1:8" s="63" customFormat="1" ht="14.25" customHeight="1" thickBot="1">
      <c r="A109" s="14" t="s">
        <v>5</v>
      </c>
      <c r="B109" s="145" t="s">
        <v>93</v>
      </c>
      <c r="C109" s="146"/>
      <c r="D109" s="142"/>
    </row>
    <row r="110" spans="1:8" s="63" customFormat="1" ht="14.25" customHeight="1" thickBot="1">
      <c r="A110" s="14"/>
      <c r="B110" s="26" t="s">
        <v>94</v>
      </c>
      <c r="C110" s="27">
        <v>3.6499999999999998E-2</v>
      </c>
      <c r="D110" s="41">
        <f>ROUND((G118*C110),2)</f>
        <v>0</v>
      </c>
    </row>
    <row r="111" spans="1:8" s="63" customFormat="1" ht="14.25" customHeight="1" thickBot="1">
      <c r="A111" s="14"/>
      <c r="B111" s="17" t="s">
        <v>126</v>
      </c>
      <c r="C111" s="27">
        <v>0</v>
      </c>
      <c r="D111" s="41">
        <f>G118*C111</f>
        <v>0</v>
      </c>
    </row>
    <row r="112" spans="1:8" s="63" customFormat="1" ht="14.25" customHeight="1" thickBot="1">
      <c r="A112" s="14"/>
      <c r="B112" s="26" t="s">
        <v>95</v>
      </c>
      <c r="C112" s="28">
        <v>0.05</v>
      </c>
      <c r="D112" s="41">
        <f>ROUND((G118*C112),2)</f>
        <v>0</v>
      </c>
    </row>
    <row r="113" spans="1:7" s="63" customFormat="1" ht="14.25" customHeight="1" thickBot="1">
      <c r="A113" s="147" t="s">
        <v>51</v>
      </c>
      <c r="B113" s="148"/>
      <c r="C113" s="29"/>
      <c r="D113" s="45">
        <f>SUM(D107:D108,D110:D112)</f>
        <v>0</v>
      </c>
    </row>
    <row r="114" spans="1:7" s="63" customFormat="1" ht="14.25" customHeight="1">
      <c r="A114" s="62"/>
      <c r="B114" s="62"/>
      <c r="C114" s="62"/>
      <c r="D114" s="62"/>
    </row>
    <row r="115" spans="1:7" s="63" customFormat="1" ht="14.25" customHeight="1" thickBot="1">
      <c r="A115" s="143" t="s">
        <v>96</v>
      </c>
      <c r="B115" s="144"/>
      <c r="C115" s="144"/>
      <c r="D115" s="144"/>
    </row>
    <row r="116" spans="1:7" s="63" customFormat="1" ht="14.25" customHeight="1" thickBot="1">
      <c r="A116" s="12"/>
      <c r="B116" s="149" t="s">
        <v>97</v>
      </c>
      <c r="C116" s="148"/>
      <c r="D116" s="13" t="s">
        <v>21</v>
      </c>
      <c r="G116" s="43">
        <f>H108+D108</f>
        <v>0</v>
      </c>
    </row>
    <row r="117" spans="1:7" s="63" customFormat="1" ht="14.25" customHeight="1" thickBot="1">
      <c r="A117" s="30" t="s">
        <v>1</v>
      </c>
      <c r="B117" s="141" t="s">
        <v>19</v>
      </c>
      <c r="C117" s="142"/>
      <c r="D117" s="42">
        <f>D28</f>
        <v>0</v>
      </c>
      <c r="F117" s="63">
        <f>ASG!F121</f>
        <v>0.91349999999999998</v>
      </c>
    </row>
    <row r="118" spans="1:7" s="63" customFormat="1" ht="14.25" customHeight="1" thickBot="1">
      <c r="A118" s="30" t="s">
        <v>3</v>
      </c>
      <c r="B118" s="141" t="s">
        <v>31</v>
      </c>
      <c r="C118" s="142"/>
      <c r="D118" s="42">
        <f>D63</f>
        <v>0</v>
      </c>
      <c r="G118" s="43">
        <f>ROUND((G116/F117),2)</f>
        <v>0</v>
      </c>
    </row>
    <row r="119" spans="1:7" s="63" customFormat="1" ht="14.25" customHeight="1" thickBot="1">
      <c r="A119" s="30" t="s">
        <v>5</v>
      </c>
      <c r="B119" s="141" t="s">
        <v>59</v>
      </c>
      <c r="C119" s="142"/>
      <c r="D119" s="42">
        <f>D73</f>
        <v>0</v>
      </c>
    </row>
    <row r="120" spans="1:7" s="63" customFormat="1" ht="14.25" customHeight="1" thickBot="1">
      <c r="A120" s="30" t="s">
        <v>7</v>
      </c>
      <c r="B120" s="141" t="s">
        <v>67</v>
      </c>
      <c r="C120" s="142"/>
      <c r="D120" s="42">
        <f>D95</f>
        <v>0</v>
      </c>
    </row>
    <row r="121" spans="1:7" s="63" customFormat="1" ht="14.25" customHeight="1" thickBot="1">
      <c r="A121" s="30" t="s">
        <v>26</v>
      </c>
      <c r="B121" s="153" t="s">
        <v>83</v>
      </c>
      <c r="C121" s="142"/>
      <c r="D121" s="42">
        <f>D103</f>
        <v>0</v>
      </c>
    </row>
    <row r="122" spans="1:7" s="63" customFormat="1" ht="14.25" customHeight="1" thickBot="1">
      <c r="A122" s="147" t="s">
        <v>98</v>
      </c>
      <c r="B122" s="150"/>
      <c r="C122" s="148"/>
      <c r="D122" s="42">
        <f>SUM(D117:D121)</f>
        <v>0</v>
      </c>
    </row>
    <row r="123" spans="1:7" s="63" customFormat="1" ht="14.25" customHeight="1" thickBot="1">
      <c r="A123" s="12" t="s">
        <v>46</v>
      </c>
      <c r="B123" s="170" t="s">
        <v>99</v>
      </c>
      <c r="C123" s="148"/>
      <c r="D123" s="42">
        <f>D113</f>
        <v>0</v>
      </c>
    </row>
    <row r="124" spans="1:7" s="63" customFormat="1" ht="14.25" customHeight="1" thickBot="1">
      <c r="A124" s="173" t="s">
        <v>140</v>
      </c>
      <c r="B124" s="150"/>
      <c r="C124" s="148"/>
      <c r="D124" s="45">
        <f>ROUND((SUM(D122:D123)),2)</f>
        <v>0</v>
      </c>
      <c r="F124" s="43"/>
    </row>
    <row r="125" spans="1:7" s="63" customFormat="1" ht="15" customHeight="1">
      <c r="A125" s="73" t="s">
        <v>145</v>
      </c>
      <c r="B125" s="37"/>
      <c r="C125" s="37"/>
      <c r="D125" s="72">
        <f>D124/2</f>
        <v>0</v>
      </c>
    </row>
    <row r="126" spans="1:7" s="63" customFormat="1" ht="15" customHeight="1">
      <c r="A126" s="174"/>
      <c r="B126" s="175"/>
      <c r="C126" s="175"/>
      <c r="D126" s="175"/>
      <c r="E126" s="176"/>
    </row>
    <row r="127" spans="1:7" s="63" customFormat="1" ht="15" customHeight="1">
      <c r="A127" s="31"/>
      <c r="B127" s="31"/>
      <c r="C127" s="31"/>
      <c r="D127" s="31"/>
      <c r="E127" s="31"/>
    </row>
    <row r="128" spans="1:7" s="63" customFormat="1" ht="15" customHeight="1">
      <c r="A128" s="31"/>
      <c r="B128" s="31"/>
      <c r="C128" s="31"/>
      <c r="D128" s="31"/>
      <c r="E128" s="31"/>
    </row>
    <row r="129" spans="1:5" s="63" customFormat="1" ht="15" customHeight="1">
      <c r="A129" s="32"/>
      <c r="B129" s="31"/>
      <c r="C129" s="31"/>
      <c r="D129" s="31"/>
      <c r="E129" s="31"/>
    </row>
    <row r="130" spans="1:5" s="70" customFormat="1" ht="14.25" customHeight="1">
      <c r="A130" s="156"/>
      <c r="B130" s="157"/>
      <c r="C130" s="157"/>
      <c r="D130" s="157"/>
    </row>
    <row r="131" spans="1:5" s="70" customFormat="1" ht="14.25" customHeight="1">
      <c r="A131" s="67"/>
      <c r="B131" s="67"/>
      <c r="C131" s="67"/>
      <c r="D131" s="67"/>
    </row>
    <row r="132" spans="1:5" s="70" customFormat="1" ht="14.25" customHeight="1" thickBot="1">
      <c r="A132" s="143" t="s">
        <v>0</v>
      </c>
      <c r="B132" s="144"/>
      <c r="C132" s="144"/>
      <c r="D132" s="144"/>
    </row>
    <row r="133" spans="1:5" s="70" customFormat="1" ht="14.25" customHeight="1" thickBot="1">
      <c r="A133" s="9" t="s">
        <v>1</v>
      </c>
      <c r="B133" s="10" t="s">
        <v>2</v>
      </c>
      <c r="C133" s="158">
        <f>C4</f>
        <v>44692</v>
      </c>
      <c r="D133" s="163"/>
    </row>
    <row r="134" spans="1:5" s="70" customFormat="1" ht="14.25" customHeight="1" thickBot="1">
      <c r="A134" s="9" t="s">
        <v>3</v>
      </c>
      <c r="B134" s="10" t="s">
        <v>4</v>
      </c>
      <c r="C134" s="158" t="str">
        <f t="shared" ref="C134:C135" si="2">C5</f>
        <v>Recife / PE</v>
      </c>
      <c r="D134" s="163"/>
    </row>
    <row r="135" spans="1:5" s="70" customFormat="1" ht="14.25" customHeight="1" thickBot="1">
      <c r="A135" s="9" t="s">
        <v>5</v>
      </c>
      <c r="B135" s="10" t="s">
        <v>6</v>
      </c>
      <c r="C135" s="158" t="str">
        <f t="shared" si="2"/>
        <v>PE000089/2022</v>
      </c>
      <c r="D135" s="163"/>
    </row>
    <row r="136" spans="1:5" s="70" customFormat="1" ht="14.25" customHeight="1" thickBot="1">
      <c r="A136" s="9" t="s">
        <v>7</v>
      </c>
      <c r="B136" s="10" t="s">
        <v>8</v>
      </c>
      <c r="C136" s="154">
        <v>12</v>
      </c>
      <c r="D136" s="148"/>
    </row>
    <row r="137" spans="1:5" s="70" customFormat="1" ht="14.25" customHeight="1">
      <c r="A137" s="67"/>
      <c r="B137" s="67"/>
      <c r="C137" s="67"/>
      <c r="D137" s="67"/>
    </row>
    <row r="138" spans="1:5" s="70" customFormat="1" ht="14.25" customHeight="1" thickBot="1">
      <c r="A138" s="143" t="s">
        <v>9</v>
      </c>
      <c r="B138" s="144"/>
      <c r="C138" s="144"/>
      <c r="D138" s="144"/>
    </row>
    <row r="139" spans="1:5" s="70" customFormat="1" ht="14.25" customHeight="1" thickBot="1">
      <c r="A139" s="164" t="s">
        <v>10</v>
      </c>
      <c r="B139" s="148"/>
      <c r="C139" s="11" t="s">
        <v>11</v>
      </c>
      <c r="D139" s="11" t="s">
        <v>12</v>
      </c>
    </row>
    <row r="140" spans="1:5" s="70" customFormat="1" ht="14.25" customHeight="1" thickBot="1">
      <c r="A140" s="154" t="s">
        <v>143</v>
      </c>
      <c r="B140" s="148"/>
      <c r="C140" s="9" t="s">
        <v>141</v>
      </c>
      <c r="D140" s="9">
        <v>1</v>
      </c>
    </row>
    <row r="141" spans="1:5" s="70" customFormat="1" ht="14.25" customHeight="1" thickBot="1">
      <c r="A141" s="67"/>
      <c r="B141" s="67"/>
      <c r="C141" s="67"/>
      <c r="D141" s="67"/>
    </row>
    <row r="142" spans="1:5" s="70" customFormat="1" ht="14.25" customHeight="1" thickBot="1">
      <c r="A142" s="9">
        <v>1</v>
      </c>
      <c r="B142" s="10" t="s">
        <v>14</v>
      </c>
      <c r="C142" s="154" t="str">
        <f>A140</f>
        <v>Portaria 12  horas diurnas</v>
      </c>
      <c r="D142" s="148"/>
    </row>
    <row r="143" spans="1:5" s="70" customFormat="1" ht="14.25" customHeight="1" thickBot="1">
      <c r="A143" s="9">
        <v>2</v>
      </c>
      <c r="B143" s="10" t="s">
        <v>15</v>
      </c>
      <c r="C143" s="154" t="s">
        <v>129</v>
      </c>
      <c r="D143" s="148"/>
    </row>
    <row r="144" spans="1:5" s="70" customFormat="1" ht="14.25" customHeight="1" thickBot="1">
      <c r="A144" s="9">
        <v>3</v>
      </c>
      <c r="B144" s="10" t="s">
        <v>16</v>
      </c>
      <c r="C144" s="160">
        <f>C15</f>
        <v>0</v>
      </c>
      <c r="D144" s="161"/>
    </row>
    <row r="145" spans="1:8" s="70" customFormat="1" ht="14.25" customHeight="1" thickBot="1">
      <c r="A145" s="9">
        <v>4</v>
      </c>
      <c r="B145" s="10" t="s">
        <v>17</v>
      </c>
      <c r="C145" s="154" t="s">
        <v>128</v>
      </c>
      <c r="D145" s="148"/>
    </row>
    <row r="146" spans="1:8" s="70" customFormat="1" ht="14.25" customHeight="1" thickBot="1">
      <c r="A146" s="9">
        <v>5</v>
      </c>
      <c r="B146" s="10" t="s">
        <v>18</v>
      </c>
      <c r="C146" s="180" t="s">
        <v>110</v>
      </c>
      <c r="D146" s="148"/>
    </row>
    <row r="147" spans="1:8" s="70" customFormat="1" ht="14.25" customHeight="1">
      <c r="A147" s="67"/>
      <c r="B147" s="67"/>
      <c r="C147" s="67"/>
      <c r="D147" s="67"/>
    </row>
    <row r="148" spans="1:8" s="70" customFormat="1" ht="14.25" customHeight="1" thickBot="1">
      <c r="A148" s="143" t="s">
        <v>19</v>
      </c>
      <c r="B148" s="144"/>
      <c r="C148" s="144"/>
      <c r="D148" s="144"/>
    </row>
    <row r="149" spans="1:8" s="70" customFormat="1" ht="14.25" customHeight="1" thickBot="1">
      <c r="A149" s="12">
        <v>1</v>
      </c>
      <c r="B149" s="149" t="s">
        <v>20</v>
      </c>
      <c r="C149" s="148"/>
      <c r="D149" s="13" t="s">
        <v>21</v>
      </c>
    </row>
    <row r="150" spans="1:8" s="70" customFormat="1" ht="14.25" customHeight="1" thickBot="1">
      <c r="A150" s="14" t="s">
        <v>1</v>
      </c>
      <c r="B150" s="141" t="s">
        <v>146</v>
      </c>
      <c r="C150" s="142"/>
      <c r="D150" s="41">
        <f>C144*2</f>
        <v>0</v>
      </c>
    </row>
    <row r="151" spans="1:8" s="70" customFormat="1" ht="14.25" customHeight="1" thickBot="1">
      <c r="A151" s="14" t="s">
        <v>3</v>
      </c>
      <c r="B151" s="141" t="s">
        <v>23</v>
      </c>
      <c r="C151" s="142"/>
      <c r="D151" s="41"/>
    </row>
    <row r="152" spans="1:8" s="70" customFormat="1" ht="14.25" customHeight="1" thickBot="1">
      <c r="A152" s="14" t="s">
        <v>5</v>
      </c>
      <c r="B152" s="141" t="s">
        <v>24</v>
      </c>
      <c r="C152" s="142"/>
      <c r="D152" s="41"/>
    </row>
    <row r="153" spans="1:8" s="70" customFormat="1" ht="14.25" customHeight="1" thickBot="1">
      <c r="A153" s="14" t="s">
        <v>7</v>
      </c>
      <c r="B153" s="141" t="s">
        <v>25</v>
      </c>
      <c r="C153" s="142"/>
      <c r="D153" s="41">
        <v>0</v>
      </c>
      <c r="F153" s="60">
        <f>C144/220</f>
        <v>0</v>
      </c>
      <c r="G153" s="60">
        <f>F153*20%</f>
        <v>0</v>
      </c>
    </row>
    <row r="154" spans="1:8" s="70" customFormat="1" ht="14.25" customHeight="1" thickBot="1">
      <c r="A154" s="14" t="s">
        <v>26</v>
      </c>
      <c r="B154" s="141" t="s">
        <v>27</v>
      </c>
      <c r="C154" s="142"/>
      <c r="D154" s="41">
        <v>0</v>
      </c>
      <c r="F154" s="60"/>
      <c r="G154" s="60">
        <f>F153*50%</f>
        <v>0</v>
      </c>
      <c r="H154" s="46">
        <f>F153+G154</f>
        <v>0</v>
      </c>
    </row>
    <row r="155" spans="1:8" s="70" customFormat="1" ht="14.25" customHeight="1" thickBot="1">
      <c r="A155" s="14" t="s">
        <v>46</v>
      </c>
      <c r="B155" s="141"/>
      <c r="C155" s="142"/>
      <c r="D155" s="41"/>
      <c r="F155" s="60"/>
      <c r="G155" s="60"/>
    </row>
    <row r="156" spans="1:8" s="70" customFormat="1" ht="14.25" customHeight="1" thickBot="1">
      <c r="A156" s="14" t="s">
        <v>28</v>
      </c>
      <c r="B156" s="153" t="s">
        <v>131</v>
      </c>
      <c r="C156" s="142"/>
      <c r="D156" s="41">
        <f>(D153+D154)/25*5</f>
        <v>0</v>
      </c>
      <c r="F156" s="60"/>
      <c r="G156" s="60"/>
    </row>
    <row r="157" spans="1:8" s="70" customFormat="1" ht="14.25" customHeight="1" thickBot="1">
      <c r="A157" s="147" t="s">
        <v>30</v>
      </c>
      <c r="B157" s="150"/>
      <c r="C157" s="148"/>
      <c r="D157" s="42">
        <f>SUM(D150:D156)</f>
        <v>0</v>
      </c>
    </row>
    <row r="158" spans="1:8" s="70" customFormat="1" ht="14.25" customHeight="1">
      <c r="A158" s="67"/>
      <c r="B158" s="67"/>
      <c r="C158" s="67"/>
      <c r="D158" s="67"/>
    </row>
    <row r="159" spans="1:8" s="70" customFormat="1" ht="14.25" customHeight="1">
      <c r="A159" s="143" t="s">
        <v>31</v>
      </c>
      <c r="B159" s="144"/>
      <c r="C159" s="144"/>
      <c r="D159" s="144"/>
    </row>
    <row r="160" spans="1:8" s="70" customFormat="1" ht="14.25" customHeight="1" thickBot="1">
      <c r="A160" s="151" t="s">
        <v>32</v>
      </c>
      <c r="B160" s="144"/>
      <c r="C160" s="144"/>
      <c r="D160" s="144"/>
    </row>
    <row r="161" spans="1:7" s="70" customFormat="1" ht="14.25" customHeight="1" thickBot="1">
      <c r="A161" s="12" t="s">
        <v>33</v>
      </c>
      <c r="B161" s="149" t="s">
        <v>34</v>
      </c>
      <c r="C161" s="148"/>
      <c r="D161" s="13" t="s">
        <v>21</v>
      </c>
    </row>
    <row r="162" spans="1:7" s="70" customFormat="1" ht="14.25" customHeight="1" thickBot="1">
      <c r="A162" s="14" t="s">
        <v>1</v>
      </c>
      <c r="B162" s="141" t="s">
        <v>35</v>
      </c>
      <c r="C162" s="142"/>
      <c r="D162" s="42">
        <f>D157*8.33%</f>
        <v>0</v>
      </c>
    </row>
    <row r="163" spans="1:7" s="70" customFormat="1" ht="14.25" customHeight="1" thickBot="1">
      <c r="A163" s="14" t="s">
        <v>3</v>
      </c>
      <c r="B163" s="153" t="s">
        <v>36</v>
      </c>
      <c r="C163" s="142"/>
      <c r="D163" s="42">
        <f>D157*12.1%</f>
        <v>0</v>
      </c>
    </row>
    <row r="164" spans="1:7" s="70" customFormat="1" ht="14.25" customHeight="1" thickBot="1">
      <c r="A164" s="147" t="s">
        <v>30</v>
      </c>
      <c r="B164" s="150"/>
      <c r="C164" s="148"/>
      <c r="D164" s="42">
        <f>SUM(D162:D163)</f>
        <v>0</v>
      </c>
    </row>
    <row r="165" spans="1:7" s="70" customFormat="1" ht="14.25" customHeight="1">
      <c r="A165" s="67"/>
      <c r="B165" s="67"/>
      <c r="C165" s="67"/>
      <c r="D165" s="67"/>
    </row>
    <row r="166" spans="1:7" s="70" customFormat="1" ht="32.25" customHeight="1" thickBot="1">
      <c r="A166" s="171" t="s">
        <v>37</v>
      </c>
      <c r="B166" s="144"/>
      <c r="C166" s="144"/>
      <c r="D166" s="144"/>
    </row>
    <row r="167" spans="1:7" s="70" customFormat="1" ht="14.25" customHeight="1" thickBot="1">
      <c r="A167" s="12" t="s">
        <v>38</v>
      </c>
      <c r="B167" s="13" t="s">
        <v>39</v>
      </c>
      <c r="C167" s="13" t="s">
        <v>40</v>
      </c>
      <c r="D167" s="13" t="s">
        <v>21</v>
      </c>
    </row>
    <row r="168" spans="1:7" s="70" customFormat="1" ht="14.25" customHeight="1" thickBot="1">
      <c r="A168" s="14" t="s">
        <v>1</v>
      </c>
      <c r="B168" s="17" t="s">
        <v>41</v>
      </c>
      <c r="C168" s="18">
        <v>0.2</v>
      </c>
      <c r="D168" s="42">
        <f>G168*C168</f>
        <v>0</v>
      </c>
      <c r="G168" s="46">
        <f>D164+D157</f>
        <v>0</v>
      </c>
    </row>
    <row r="169" spans="1:7" s="70" customFormat="1" ht="14.25" customHeight="1" thickBot="1">
      <c r="A169" s="14" t="s">
        <v>3</v>
      </c>
      <c r="B169" s="17" t="s">
        <v>42</v>
      </c>
      <c r="C169" s="18">
        <v>2.5000000000000001E-2</v>
      </c>
      <c r="D169" s="42">
        <f>G168*C169</f>
        <v>0</v>
      </c>
    </row>
    <row r="170" spans="1:7" s="70" customFormat="1" ht="14.25" customHeight="1" thickBot="1">
      <c r="A170" s="14" t="s">
        <v>5</v>
      </c>
      <c r="B170" s="17" t="s">
        <v>43</v>
      </c>
      <c r="C170" s="19">
        <f>C41</f>
        <v>0.03</v>
      </c>
      <c r="D170" s="42">
        <f>G168*C170</f>
        <v>0</v>
      </c>
    </row>
    <row r="171" spans="1:7" s="70" customFormat="1" ht="14.25" customHeight="1" thickBot="1">
      <c r="A171" s="14" t="s">
        <v>7</v>
      </c>
      <c r="B171" s="17" t="s">
        <v>44</v>
      </c>
      <c r="C171" s="18">
        <v>1.4999999999999999E-2</v>
      </c>
      <c r="D171" s="42">
        <f>G168*C171</f>
        <v>0</v>
      </c>
    </row>
    <row r="172" spans="1:7" s="70" customFormat="1" ht="14.25" customHeight="1" thickBot="1">
      <c r="A172" s="14" t="s">
        <v>26</v>
      </c>
      <c r="B172" s="17" t="s">
        <v>45</v>
      </c>
      <c r="C172" s="18">
        <v>0.01</v>
      </c>
      <c r="D172" s="42">
        <f>G168*C172</f>
        <v>0</v>
      </c>
    </row>
    <row r="173" spans="1:7" s="70" customFormat="1" ht="14.25" customHeight="1" thickBot="1">
      <c r="A173" s="14" t="s">
        <v>46</v>
      </c>
      <c r="B173" s="17" t="s">
        <v>47</v>
      </c>
      <c r="C173" s="18">
        <v>6.0000000000000001E-3</v>
      </c>
      <c r="D173" s="42">
        <f>G168*C173</f>
        <v>0</v>
      </c>
    </row>
    <row r="174" spans="1:7" s="70" customFormat="1" ht="14.25" customHeight="1" thickBot="1">
      <c r="A174" s="14" t="s">
        <v>28</v>
      </c>
      <c r="B174" s="17" t="s">
        <v>48</v>
      </c>
      <c r="C174" s="18">
        <v>2E-3</v>
      </c>
      <c r="D174" s="42">
        <f>G168*C174</f>
        <v>0</v>
      </c>
    </row>
    <row r="175" spans="1:7" s="70" customFormat="1" ht="14.25" customHeight="1" thickBot="1">
      <c r="A175" s="14" t="s">
        <v>49</v>
      </c>
      <c r="B175" s="17" t="s">
        <v>50</v>
      </c>
      <c r="C175" s="18">
        <v>0.08</v>
      </c>
      <c r="D175" s="42">
        <f>G168*C175</f>
        <v>0</v>
      </c>
    </row>
    <row r="176" spans="1:7" s="70" customFormat="1" ht="14.25" customHeight="1" thickBot="1">
      <c r="A176" s="147" t="s">
        <v>51</v>
      </c>
      <c r="B176" s="150"/>
      <c r="C176" s="36">
        <f t="shared" ref="C176:D176" si="3">SUM(C168:C175)</f>
        <v>0.36800000000000005</v>
      </c>
      <c r="D176" s="42">
        <f t="shared" si="3"/>
        <v>0</v>
      </c>
    </row>
    <row r="177" spans="1:4" s="70" customFormat="1" ht="14.25" customHeight="1">
      <c r="A177" s="67"/>
      <c r="B177" s="67"/>
      <c r="C177" s="67"/>
      <c r="D177" s="67"/>
    </row>
    <row r="178" spans="1:4" s="70" customFormat="1" ht="14.25" customHeight="1" thickBot="1">
      <c r="A178" s="172" t="s">
        <v>52</v>
      </c>
      <c r="B178" s="144"/>
      <c r="C178" s="144"/>
      <c r="D178" s="144"/>
    </row>
    <row r="179" spans="1:4" s="70" customFormat="1" ht="14.25" customHeight="1" thickBot="1">
      <c r="A179" s="12" t="s">
        <v>53</v>
      </c>
      <c r="B179" s="149" t="s">
        <v>54</v>
      </c>
      <c r="C179" s="148"/>
      <c r="D179" s="13" t="s">
        <v>21</v>
      </c>
    </row>
    <row r="180" spans="1:4" s="70" customFormat="1" ht="14.25" customHeight="1" thickBot="1">
      <c r="A180" s="14" t="s">
        <v>1</v>
      </c>
      <c r="B180" s="165" t="str">
        <f>B51</f>
        <v>Transporte</v>
      </c>
      <c r="C180" s="148"/>
      <c r="D180" s="41">
        <f>D51</f>
        <v>0</v>
      </c>
    </row>
    <row r="181" spans="1:4" s="70" customFormat="1" ht="14.25" customHeight="1" thickBot="1">
      <c r="A181" s="14" t="s">
        <v>3</v>
      </c>
      <c r="B181" s="165" t="str">
        <f t="shared" ref="B181:B184" si="4">B52</f>
        <v>Auxílio-Refeição/Alimentação</v>
      </c>
      <c r="C181" s="148"/>
      <c r="D181" s="41">
        <f t="shared" ref="D181:D184" si="5">D52</f>
        <v>0</v>
      </c>
    </row>
    <row r="182" spans="1:4" s="70" customFormat="1" ht="14.25" customHeight="1" thickBot="1">
      <c r="A182" s="20" t="s">
        <v>5</v>
      </c>
      <c r="B182" s="165" t="str">
        <f t="shared" si="4"/>
        <v>Serviço assistencial</v>
      </c>
      <c r="C182" s="148"/>
      <c r="D182" s="41">
        <f t="shared" si="5"/>
        <v>0</v>
      </c>
    </row>
    <row r="183" spans="1:4" s="70" customFormat="1" ht="14.25" customHeight="1" thickBot="1">
      <c r="A183" s="20" t="s">
        <v>7</v>
      </c>
      <c r="B183" s="165" t="str">
        <f t="shared" si="4"/>
        <v>Seguro de Vida</v>
      </c>
      <c r="C183" s="148"/>
      <c r="D183" s="41">
        <f t="shared" si="5"/>
        <v>0</v>
      </c>
    </row>
    <row r="184" spans="1:4" s="70" customFormat="1" ht="14.25" customHeight="1" thickBot="1">
      <c r="A184" s="21" t="s">
        <v>26</v>
      </c>
      <c r="B184" s="165" t="str">
        <f t="shared" si="4"/>
        <v>Cesta básica</v>
      </c>
      <c r="C184" s="148"/>
      <c r="D184" s="41">
        <f t="shared" si="5"/>
        <v>0</v>
      </c>
    </row>
    <row r="185" spans="1:4" s="70" customFormat="1" ht="14.25" customHeight="1" thickBot="1">
      <c r="A185" s="147" t="s">
        <v>30</v>
      </c>
      <c r="B185" s="150"/>
      <c r="C185" s="148"/>
      <c r="D185" s="41">
        <f>SUM(D180:D184)</f>
        <v>0</v>
      </c>
    </row>
    <row r="186" spans="1:4" s="70" customFormat="1" ht="14.25" customHeight="1">
      <c r="A186" s="67"/>
      <c r="B186" s="67"/>
      <c r="C186" s="67"/>
      <c r="D186" s="67"/>
    </row>
    <row r="187" spans="1:4" s="70" customFormat="1" ht="14.25" customHeight="1" thickBot="1">
      <c r="A187" s="151" t="s">
        <v>57</v>
      </c>
      <c r="B187" s="144"/>
      <c r="C187" s="144"/>
      <c r="D187" s="144"/>
    </row>
    <row r="188" spans="1:4" s="70" customFormat="1" ht="14.25" customHeight="1" thickBot="1">
      <c r="A188" s="12">
        <v>2</v>
      </c>
      <c r="B188" s="149" t="s">
        <v>58</v>
      </c>
      <c r="C188" s="148"/>
      <c r="D188" s="13" t="s">
        <v>21</v>
      </c>
    </row>
    <row r="189" spans="1:4" s="70" customFormat="1" ht="14.25" customHeight="1" thickBot="1">
      <c r="A189" s="14" t="s">
        <v>33</v>
      </c>
      <c r="B189" s="165" t="s">
        <v>34</v>
      </c>
      <c r="C189" s="148"/>
      <c r="D189" s="41">
        <f>D164</f>
        <v>0</v>
      </c>
    </row>
    <row r="190" spans="1:4" s="70" customFormat="1" ht="14.25" customHeight="1" thickBot="1">
      <c r="A190" s="14" t="s">
        <v>38</v>
      </c>
      <c r="B190" s="165" t="s">
        <v>39</v>
      </c>
      <c r="C190" s="148"/>
      <c r="D190" s="41">
        <f>D176</f>
        <v>0</v>
      </c>
    </row>
    <row r="191" spans="1:4" s="70" customFormat="1" ht="14.25" customHeight="1" thickBot="1">
      <c r="A191" s="22" t="s">
        <v>53</v>
      </c>
      <c r="B191" s="170" t="s">
        <v>54</v>
      </c>
      <c r="C191" s="148"/>
      <c r="D191" s="41">
        <f>D185</f>
        <v>0</v>
      </c>
    </row>
    <row r="192" spans="1:4" s="70" customFormat="1" ht="14.25" customHeight="1" thickBot="1">
      <c r="A192" s="147" t="s">
        <v>30</v>
      </c>
      <c r="B192" s="150"/>
      <c r="C192" s="148"/>
      <c r="D192" s="41">
        <f>SUM(D189:D191)</f>
        <v>0</v>
      </c>
    </row>
    <row r="193" spans="1:7" s="70" customFormat="1" ht="14.25" customHeight="1">
      <c r="A193" s="6"/>
      <c r="B193" s="67"/>
      <c r="C193" s="67"/>
      <c r="D193" s="67"/>
    </row>
    <row r="194" spans="1:7" s="70" customFormat="1" ht="14.25" customHeight="1" thickBot="1">
      <c r="A194" s="143" t="s">
        <v>59</v>
      </c>
      <c r="B194" s="144"/>
      <c r="C194" s="144"/>
      <c r="D194" s="144"/>
    </row>
    <row r="195" spans="1:7" s="70" customFormat="1" ht="14.25" customHeight="1" thickBot="1">
      <c r="A195" s="12">
        <v>3</v>
      </c>
      <c r="B195" s="149" t="s">
        <v>60</v>
      </c>
      <c r="C195" s="148"/>
      <c r="D195" s="13" t="s">
        <v>21</v>
      </c>
    </row>
    <row r="196" spans="1:7" s="70" customFormat="1" ht="14.25" customHeight="1" thickBot="1">
      <c r="A196" s="14" t="s">
        <v>1</v>
      </c>
      <c r="B196" s="141" t="s">
        <v>61</v>
      </c>
      <c r="C196" s="142"/>
      <c r="D196" s="41">
        <f>$D$157*0.46%</f>
        <v>0</v>
      </c>
    </row>
    <row r="197" spans="1:7" s="70" customFormat="1" ht="14.25" customHeight="1" thickBot="1">
      <c r="A197" s="14" t="s">
        <v>3</v>
      </c>
      <c r="B197" s="141" t="s">
        <v>62</v>
      </c>
      <c r="C197" s="142"/>
      <c r="D197" s="41">
        <f>D196*C175</f>
        <v>0</v>
      </c>
    </row>
    <row r="198" spans="1:7" s="70" customFormat="1" ht="14.25" customHeight="1" thickBot="1">
      <c r="A198" s="14" t="s">
        <v>5</v>
      </c>
      <c r="B198" s="152" t="s">
        <v>63</v>
      </c>
      <c r="C198" s="142"/>
      <c r="D198" s="41">
        <f>D196*8%*40%</f>
        <v>0</v>
      </c>
    </row>
    <row r="199" spans="1:7" s="70" customFormat="1" ht="14.25" customHeight="1" thickBot="1">
      <c r="A199" s="14" t="s">
        <v>7</v>
      </c>
      <c r="B199" s="141" t="s">
        <v>64</v>
      </c>
      <c r="C199" s="142"/>
      <c r="D199" s="41">
        <f>$D$157*1.94%</f>
        <v>0</v>
      </c>
    </row>
    <row r="200" spans="1:7" s="70" customFormat="1" ht="14.25" customHeight="1" thickBot="1">
      <c r="A200" s="23" t="s">
        <v>26</v>
      </c>
      <c r="B200" s="168" t="s">
        <v>65</v>
      </c>
      <c r="C200" s="169"/>
      <c r="D200" s="41">
        <f>D199*C176</f>
        <v>0</v>
      </c>
    </row>
    <row r="201" spans="1:7" s="70" customFormat="1" ht="14.25" customHeight="1" thickBot="1">
      <c r="A201" s="22" t="s">
        <v>46</v>
      </c>
      <c r="B201" s="167" t="s">
        <v>66</v>
      </c>
      <c r="C201" s="148"/>
      <c r="D201" s="41">
        <f>$D$157*3.2%</f>
        <v>0</v>
      </c>
    </row>
    <row r="202" spans="1:7" s="70" customFormat="1" ht="14.25" customHeight="1" thickBot="1">
      <c r="A202" s="147" t="s">
        <v>30</v>
      </c>
      <c r="B202" s="150"/>
      <c r="C202" s="148"/>
      <c r="D202" s="42">
        <f>SUM(D196:D201)</f>
        <v>0</v>
      </c>
    </row>
    <row r="203" spans="1:7" s="70" customFormat="1" ht="14.25" customHeight="1">
      <c r="A203" s="67"/>
      <c r="B203" s="67"/>
      <c r="C203" s="67"/>
      <c r="D203" s="67"/>
    </row>
    <row r="204" spans="1:7" s="70" customFormat="1" ht="14.25" customHeight="1">
      <c r="A204" s="143" t="s">
        <v>67</v>
      </c>
      <c r="B204" s="144"/>
      <c r="C204" s="144"/>
      <c r="D204" s="144"/>
    </row>
    <row r="205" spans="1:7" s="70" customFormat="1" ht="14.25" customHeight="1" thickBot="1">
      <c r="A205" s="151" t="s">
        <v>68</v>
      </c>
      <c r="B205" s="144"/>
      <c r="C205" s="144"/>
      <c r="D205" s="144"/>
    </row>
    <row r="206" spans="1:7" s="70" customFormat="1" ht="14.25" customHeight="1" thickBot="1">
      <c r="A206" s="12" t="s">
        <v>69</v>
      </c>
      <c r="B206" s="149" t="s">
        <v>70</v>
      </c>
      <c r="C206" s="148"/>
      <c r="D206" s="13" t="s">
        <v>21</v>
      </c>
    </row>
    <row r="207" spans="1:7" s="70" customFormat="1" ht="14.25" customHeight="1" thickBot="1">
      <c r="A207" s="14" t="s">
        <v>1</v>
      </c>
      <c r="B207" s="152" t="s">
        <v>71</v>
      </c>
      <c r="C207" s="142"/>
      <c r="D207" s="41">
        <f>D157*1.62%</f>
        <v>0</v>
      </c>
      <c r="G207" s="43">
        <f>D157+D192+D202</f>
        <v>0</v>
      </c>
    </row>
    <row r="208" spans="1:7" s="70" customFormat="1" ht="14.25" customHeight="1" thickBot="1">
      <c r="A208" s="14" t="s">
        <v>3</v>
      </c>
      <c r="B208" s="152" t="s">
        <v>72</v>
      </c>
      <c r="C208" s="142"/>
      <c r="D208" s="41">
        <f>D157*0.28%</f>
        <v>0</v>
      </c>
    </row>
    <row r="209" spans="1:4" s="70" customFormat="1" ht="14.25" customHeight="1" thickBot="1">
      <c r="A209" s="14" t="s">
        <v>5</v>
      </c>
      <c r="B209" s="152" t="s">
        <v>73</v>
      </c>
      <c r="C209" s="142"/>
      <c r="D209" s="41">
        <f>D157*0.08%</f>
        <v>0</v>
      </c>
    </row>
    <row r="210" spans="1:4" s="70" customFormat="1" ht="14.25" customHeight="1" thickBot="1">
      <c r="A210" s="14" t="s">
        <v>7</v>
      </c>
      <c r="B210" s="141" t="s">
        <v>74</v>
      </c>
      <c r="C210" s="142"/>
      <c r="D210" s="41">
        <f>D157*0.27%</f>
        <v>0</v>
      </c>
    </row>
    <row r="211" spans="1:4" s="70" customFormat="1" ht="14.25" customHeight="1" thickBot="1">
      <c r="A211" s="14" t="s">
        <v>26</v>
      </c>
      <c r="B211" s="177" t="s">
        <v>75</v>
      </c>
      <c r="C211" s="142"/>
      <c r="D211" s="41">
        <f>D157*0.03%</f>
        <v>0</v>
      </c>
    </row>
    <row r="212" spans="1:4" s="70" customFormat="1" ht="14.25" customHeight="1" thickBot="1">
      <c r="A212" s="14" t="s">
        <v>46</v>
      </c>
      <c r="B212" s="178" t="s">
        <v>76</v>
      </c>
      <c r="C212" s="142"/>
      <c r="D212" s="41"/>
    </row>
    <row r="213" spans="1:4" s="70" customFormat="1" ht="14.25" customHeight="1" thickBot="1">
      <c r="A213" s="147" t="s">
        <v>51</v>
      </c>
      <c r="B213" s="150"/>
      <c r="C213" s="148"/>
      <c r="D213" s="41">
        <f>SUM(D207:D212)</f>
        <v>0</v>
      </c>
    </row>
    <row r="214" spans="1:4" s="70" customFormat="1" ht="14.25" customHeight="1">
      <c r="A214" s="67"/>
      <c r="B214" s="67"/>
      <c r="C214" s="67"/>
      <c r="D214" s="67"/>
    </row>
    <row r="215" spans="1:4" s="70" customFormat="1" ht="14.25" customHeight="1" thickBot="1">
      <c r="A215" s="151" t="s">
        <v>77</v>
      </c>
      <c r="B215" s="144"/>
      <c r="C215" s="144"/>
      <c r="D215" s="144"/>
    </row>
    <row r="216" spans="1:4" s="70" customFormat="1" ht="14.25" customHeight="1" thickBot="1">
      <c r="A216" s="12" t="s">
        <v>78</v>
      </c>
      <c r="B216" s="149" t="s">
        <v>79</v>
      </c>
      <c r="C216" s="148"/>
      <c r="D216" s="13" t="s">
        <v>21</v>
      </c>
    </row>
    <row r="217" spans="1:4" s="70" customFormat="1" ht="14.25" customHeight="1" thickBot="1">
      <c r="A217" s="14" t="s">
        <v>1</v>
      </c>
      <c r="B217" s="153" t="s">
        <v>80</v>
      </c>
      <c r="C217" s="142"/>
      <c r="D217" s="41">
        <f>D94</f>
        <v>0</v>
      </c>
    </row>
    <row r="218" spans="1:4" s="70" customFormat="1" ht="14.25" customHeight="1" thickBot="1">
      <c r="A218" s="147" t="s">
        <v>30</v>
      </c>
      <c r="B218" s="150"/>
      <c r="C218" s="148"/>
      <c r="D218" s="42">
        <f>D217</f>
        <v>0</v>
      </c>
    </row>
    <row r="219" spans="1:4" s="70" customFormat="1" ht="14.25" customHeight="1">
      <c r="A219" s="67"/>
      <c r="B219" s="67"/>
      <c r="C219" s="67"/>
      <c r="D219" s="67"/>
    </row>
    <row r="220" spans="1:4" s="70" customFormat="1" ht="14.25" customHeight="1" thickBot="1">
      <c r="A220" s="151" t="s">
        <v>81</v>
      </c>
      <c r="B220" s="144"/>
      <c r="C220" s="144"/>
      <c r="D220" s="144"/>
    </row>
    <row r="221" spans="1:4" s="70" customFormat="1" ht="14.25" customHeight="1" thickBot="1">
      <c r="A221" s="12">
        <v>4</v>
      </c>
      <c r="B221" s="149" t="s">
        <v>82</v>
      </c>
      <c r="C221" s="148"/>
      <c r="D221" s="13" t="s">
        <v>21</v>
      </c>
    </row>
    <row r="222" spans="1:4" s="70" customFormat="1" ht="14.25" customHeight="1" thickBot="1">
      <c r="A222" s="14" t="s">
        <v>69</v>
      </c>
      <c r="B222" s="141" t="s">
        <v>70</v>
      </c>
      <c r="C222" s="142"/>
      <c r="D222" s="41">
        <f>D213</f>
        <v>0</v>
      </c>
    </row>
    <row r="223" spans="1:4" s="70" customFormat="1" ht="14.25" customHeight="1" thickBot="1">
      <c r="A223" s="14" t="s">
        <v>78</v>
      </c>
      <c r="B223" s="153" t="s">
        <v>79</v>
      </c>
      <c r="C223" s="142"/>
      <c r="D223" s="41">
        <f>D218</f>
        <v>0</v>
      </c>
    </row>
    <row r="224" spans="1:4" s="70" customFormat="1" ht="14.25" customHeight="1" thickBot="1">
      <c r="A224" s="147" t="s">
        <v>30</v>
      </c>
      <c r="B224" s="150"/>
      <c r="C224" s="148"/>
      <c r="D224" s="41">
        <f>SUM(D222:D223)</f>
        <v>0</v>
      </c>
    </row>
    <row r="225" spans="1:8" s="70" customFormat="1" ht="14.25" customHeight="1">
      <c r="A225" s="67"/>
      <c r="B225" s="67"/>
      <c r="C225" s="67"/>
      <c r="D225" s="67"/>
    </row>
    <row r="226" spans="1:8" s="70" customFormat="1" ht="14.25" customHeight="1" thickBot="1">
      <c r="A226" s="143" t="s">
        <v>83</v>
      </c>
      <c r="B226" s="144"/>
      <c r="C226" s="144"/>
      <c r="D226" s="144"/>
    </row>
    <row r="227" spans="1:8" s="70" customFormat="1" ht="14.25" customHeight="1" thickBot="1">
      <c r="A227" s="12">
        <v>5</v>
      </c>
      <c r="B227" s="149" t="s">
        <v>84</v>
      </c>
      <c r="C227" s="148"/>
      <c r="D227" s="13" t="s">
        <v>21</v>
      </c>
    </row>
    <row r="228" spans="1:8" s="70" customFormat="1" ht="14.25" customHeight="1" thickBot="1">
      <c r="A228" s="14" t="s">
        <v>1</v>
      </c>
      <c r="B228" s="141" t="s">
        <v>85</v>
      </c>
      <c r="C228" s="142"/>
      <c r="D228" s="44">
        <f>D99</f>
        <v>0</v>
      </c>
    </row>
    <row r="229" spans="1:8" s="70" customFormat="1" ht="14.25" customHeight="1" thickBot="1">
      <c r="A229" s="14" t="s">
        <v>3</v>
      </c>
      <c r="B229" s="153" t="s">
        <v>86</v>
      </c>
      <c r="C229" s="142"/>
      <c r="D229" s="42">
        <v>0</v>
      </c>
    </row>
    <row r="230" spans="1:8" s="70" customFormat="1" ht="14.25" customHeight="1" thickBot="1">
      <c r="A230" s="22" t="s">
        <v>5</v>
      </c>
      <c r="B230" s="170" t="s">
        <v>102</v>
      </c>
      <c r="C230" s="148"/>
      <c r="D230" s="42">
        <f>ASG!D230*4</f>
        <v>0</v>
      </c>
    </row>
    <row r="231" spans="1:8" s="70" customFormat="1" ht="14.25" customHeight="1" thickBot="1">
      <c r="A231" s="22" t="s">
        <v>7</v>
      </c>
      <c r="B231" s="167" t="s">
        <v>87</v>
      </c>
      <c r="C231" s="148"/>
      <c r="D231" s="42">
        <f>D101</f>
        <v>0</v>
      </c>
    </row>
    <row r="232" spans="1:8" s="70" customFormat="1" ht="14.25" customHeight="1" thickBot="1">
      <c r="A232" s="147" t="s">
        <v>51</v>
      </c>
      <c r="B232" s="150"/>
      <c r="C232" s="148"/>
      <c r="D232" s="42">
        <f>SUM(D228:D231)</f>
        <v>0</v>
      </c>
    </row>
    <row r="233" spans="1:8" s="70" customFormat="1" ht="14.25" customHeight="1">
      <c r="A233" s="67"/>
      <c r="B233" s="67"/>
      <c r="C233" s="67"/>
      <c r="D233" s="67"/>
    </row>
    <row r="234" spans="1:8" s="70" customFormat="1" ht="14.25" customHeight="1" thickBot="1">
      <c r="A234" s="143" t="s">
        <v>88</v>
      </c>
      <c r="B234" s="144"/>
      <c r="C234" s="144"/>
      <c r="D234" s="144"/>
    </row>
    <row r="235" spans="1:8" s="70" customFormat="1" ht="14.25" customHeight="1" thickBot="1">
      <c r="A235" s="12">
        <v>6</v>
      </c>
      <c r="B235" s="24" t="s">
        <v>89</v>
      </c>
      <c r="C235" s="25" t="s">
        <v>90</v>
      </c>
      <c r="D235" s="13" t="s">
        <v>21</v>
      </c>
    </row>
    <row r="236" spans="1:8" s="70" customFormat="1" ht="14.25" customHeight="1" thickBot="1">
      <c r="A236" s="14" t="s">
        <v>1</v>
      </c>
      <c r="B236" s="17" t="s">
        <v>91</v>
      </c>
      <c r="C236" s="19">
        <f>C107</f>
        <v>0.03</v>
      </c>
      <c r="D236" s="41">
        <f>ROUND((G236*C236),2)</f>
        <v>0</v>
      </c>
      <c r="G236" s="43">
        <f>G207+D224+D232</f>
        <v>0</v>
      </c>
    </row>
    <row r="237" spans="1:8" s="70" customFormat="1" ht="14.25" customHeight="1" thickBot="1">
      <c r="A237" s="14" t="s">
        <v>3</v>
      </c>
      <c r="B237" s="17" t="s">
        <v>92</v>
      </c>
      <c r="C237" s="19">
        <f>C108</f>
        <v>6.7900000000000002E-2</v>
      </c>
      <c r="D237" s="41">
        <f>ROUND((H237*C237),2)</f>
        <v>0</v>
      </c>
      <c r="H237" s="43">
        <f>G236+D236</f>
        <v>0</v>
      </c>
    </row>
    <row r="238" spans="1:8" s="70" customFormat="1" ht="14.25" customHeight="1" thickBot="1">
      <c r="A238" s="14" t="s">
        <v>5</v>
      </c>
      <c r="B238" s="145" t="s">
        <v>93</v>
      </c>
      <c r="C238" s="146"/>
      <c r="D238" s="142"/>
    </row>
    <row r="239" spans="1:8" s="70" customFormat="1" ht="14.25" customHeight="1" thickBot="1">
      <c r="A239" s="14"/>
      <c r="B239" s="26" t="s">
        <v>94</v>
      </c>
      <c r="C239" s="27">
        <v>3.6499999999999998E-2</v>
      </c>
      <c r="D239" s="41">
        <f>ROUND((G247*C239),2)</f>
        <v>0</v>
      </c>
    </row>
    <row r="240" spans="1:8" s="70" customFormat="1" ht="14.25" customHeight="1" thickBot="1">
      <c r="A240" s="14"/>
      <c r="B240" s="17" t="s">
        <v>126</v>
      </c>
      <c r="C240" s="27">
        <v>0</v>
      </c>
      <c r="D240" s="41">
        <f>G247*C240</f>
        <v>0</v>
      </c>
    </row>
    <row r="241" spans="1:7" s="70" customFormat="1" ht="14.25" customHeight="1" thickBot="1">
      <c r="A241" s="14"/>
      <c r="B241" s="26" t="s">
        <v>95</v>
      </c>
      <c r="C241" s="28">
        <v>0.05</v>
      </c>
      <c r="D241" s="41">
        <f>ROUND((G247*C241),2)</f>
        <v>0</v>
      </c>
    </row>
    <row r="242" spans="1:7" s="70" customFormat="1" ht="14.25" customHeight="1" thickBot="1">
      <c r="A242" s="147" t="s">
        <v>51</v>
      </c>
      <c r="B242" s="148"/>
      <c r="C242" s="29"/>
      <c r="D242" s="45">
        <f>SUM(D236:D237,D239:D241)</f>
        <v>0</v>
      </c>
    </row>
    <row r="243" spans="1:7" s="70" customFormat="1" ht="14.25" customHeight="1">
      <c r="A243" s="67"/>
      <c r="B243" s="67"/>
      <c r="C243" s="67"/>
      <c r="D243" s="67"/>
    </row>
    <row r="244" spans="1:7" s="70" customFormat="1" ht="14.25" customHeight="1" thickBot="1">
      <c r="A244" s="143" t="s">
        <v>96</v>
      </c>
      <c r="B244" s="144"/>
      <c r="C244" s="144"/>
      <c r="D244" s="144"/>
    </row>
    <row r="245" spans="1:7" s="70" customFormat="1" ht="14.25" customHeight="1" thickBot="1">
      <c r="A245" s="12"/>
      <c r="B245" s="149" t="s">
        <v>97</v>
      </c>
      <c r="C245" s="148"/>
      <c r="D245" s="13" t="s">
        <v>21</v>
      </c>
      <c r="G245" s="43">
        <f>H237+D237</f>
        <v>0</v>
      </c>
    </row>
    <row r="246" spans="1:7" s="70" customFormat="1" ht="14.25" customHeight="1" thickBot="1">
      <c r="A246" s="30" t="s">
        <v>1</v>
      </c>
      <c r="B246" s="141" t="s">
        <v>19</v>
      </c>
      <c r="C246" s="142"/>
      <c r="D246" s="42">
        <f>D157</f>
        <v>0</v>
      </c>
      <c r="F246" s="70">
        <f>F117</f>
        <v>0.91349999999999998</v>
      </c>
    </row>
    <row r="247" spans="1:7" s="70" customFormat="1" ht="14.25" customHeight="1" thickBot="1">
      <c r="A247" s="30" t="s">
        <v>3</v>
      </c>
      <c r="B247" s="141" t="s">
        <v>31</v>
      </c>
      <c r="C247" s="142"/>
      <c r="D247" s="42">
        <f>D192</f>
        <v>0</v>
      </c>
      <c r="G247" s="43">
        <f>ROUND((G245/F246),2)</f>
        <v>0</v>
      </c>
    </row>
    <row r="248" spans="1:7" s="70" customFormat="1" ht="14.25" customHeight="1" thickBot="1">
      <c r="A248" s="30" t="s">
        <v>5</v>
      </c>
      <c r="B248" s="141" t="s">
        <v>59</v>
      </c>
      <c r="C248" s="142"/>
      <c r="D248" s="42">
        <f>D202</f>
        <v>0</v>
      </c>
    </row>
    <row r="249" spans="1:7" s="70" customFormat="1" ht="14.25" customHeight="1" thickBot="1">
      <c r="A249" s="30" t="s">
        <v>7</v>
      </c>
      <c r="B249" s="141" t="s">
        <v>67</v>
      </c>
      <c r="C249" s="142"/>
      <c r="D249" s="42">
        <f>D224</f>
        <v>0</v>
      </c>
    </row>
    <row r="250" spans="1:7" s="70" customFormat="1" ht="14.25" customHeight="1" thickBot="1">
      <c r="A250" s="30" t="s">
        <v>26</v>
      </c>
      <c r="B250" s="153" t="s">
        <v>83</v>
      </c>
      <c r="C250" s="142"/>
      <c r="D250" s="42">
        <f>D232</f>
        <v>0</v>
      </c>
    </row>
    <row r="251" spans="1:7" s="70" customFormat="1" ht="14.25" customHeight="1" thickBot="1">
      <c r="A251" s="147" t="s">
        <v>98</v>
      </c>
      <c r="B251" s="150"/>
      <c r="C251" s="148"/>
      <c r="D251" s="42">
        <f>SUM(D246:D250)</f>
        <v>0</v>
      </c>
    </row>
    <row r="252" spans="1:7" s="70" customFormat="1" ht="14.25" customHeight="1" thickBot="1">
      <c r="A252" s="12" t="s">
        <v>46</v>
      </c>
      <c r="B252" s="170" t="s">
        <v>99</v>
      </c>
      <c r="C252" s="148"/>
      <c r="D252" s="42">
        <f>D242</f>
        <v>0</v>
      </c>
    </row>
    <row r="253" spans="1:7" s="70" customFormat="1" ht="14.25" customHeight="1" thickBot="1">
      <c r="A253" s="173" t="s">
        <v>140</v>
      </c>
      <c r="B253" s="150"/>
      <c r="C253" s="148"/>
      <c r="D253" s="45">
        <f>ROUND((SUM(D251:D252)),2)</f>
        <v>0</v>
      </c>
      <c r="F253" s="43"/>
    </row>
    <row r="254" spans="1:7" ht="15" customHeight="1">
      <c r="D254" s="43">
        <f>D253/2</f>
        <v>0</v>
      </c>
      <c r="F254" s="43">
        <f>3185.46-D254</f>
        <v>3185.46</v>
      </c>
      <c r="G254" s="43">
        <f>F254/2</f>
        <v>1592.73</v>
      </c>
    </row>
  </sheetData>
  <mergeCells count="189">
    <mergeCell ref="B121:C121"/>
    <mergeCell ref="A122:C122"/>
    <mergeCell ref="B123:C123"/>
    <mergeCell ref="A124:C124"/>
    <mergeCell ref="A126:E126"/>
    <mergeCell ref="B120:C120"/>
    <mergeCell ref="A115:D115"/>
    <mergeCell ref="B116:C116"/>
    <mergeCell ref="B117:C117"/>
    <mergeCell ref="B118:C118"/>
    <mergeCell ref="B119:C119"/>
    <mergeCell ref="A113:B113"/>
    <mergeCell ref="B94:C94"/>
    <mergeCell ref="A95:C95"/>
    <mergeCell ref="A97:D97"/>
    <mergeCell ref="B98:C98"/>
    <mergeCell ref="B99:C99"/>
    <mergeCell ref="B100:C100"/>
    <mergeCell ref="B101:C101"/>
    <mergeCell ref="B102:C102"/>
    <mergeCell ref="A103:C103"/>
    <mergeCell ref="A105:D105"/>
    <mergeCell ref="B109:D109"/>
    <mergeCell ref="B93:C93"/>
    <mergeCell ref="B80:C80"/>
    <mergeCell ref="B81:C81"/>
    <mergeCell ref="B82:C82"/>
    <mergeCell ref="B83:C83"/>
    <mergeCell ref="A84:C84"/>
    <mergeCell ref="A86:D86"/>
    <mergeCell ref="B87:C87"/>
    <mergeCell ref="B88:C88"/>
    <mergeCell ref="A89:C89"/>
    <mergeCell ref="A91:D91"/>
    <mergeCell ref="B92:C92"/>
    <mergeCell ref="B79:C79"/>
    <mergeCell ref="B67:C67"/>
    <mergeCell ref="B68:C68"/>
    <mergeCell ref="B69:C69"/>
    <mergeCell ref="B70:C70"/>
    <mergeCell ref="B71:C71"/>
    <mergeCell ref="B72:C72"/>
    <mergeCell ref="A73:C73"/>
    <mergeCell ref="A75:D75"/>
    <mergeCell ref="A76:D76"/>
    <mergeCell ref="B77:C77"/>
    <mergeCell ref="B78:C78"/>
    <mergeCell ref="B66:C66"/>
    <mergeCell ref="B53:C53"/>
    <mergeCell ref="B54:C54"/>
    <mergeCell ref="B55:C55"/>
    <mergeCell ref="A56:C56"/>
    <mergeCell ref="A58:D58"/>
    <mergeCell ref="B59:C59"/>
    <mergeCell ref="B60:C60"/>
    <mergeCell ref="B61:C61"/>
    <mergeCell ref="B62:C62"/>
    <mergeCell ref="A63:C63"/>
    <mergeCell ref="A65:D65"/>
    <mergeCell ref="B23:C23"/>
    <mergeCell ref="B24:C24"/>
    <mergeCell ref="B25:C25"/>
    <mergeCell ref="B26:C26"/>
    <mergeCell ref="B27:C27"/>
    <mergeCell ref="B52:C52"/>
    <mergeCell ref="A30:D30"/>
    <mergeCell ref="A31:D31"/>
    <mergeCell ref="B32:C32"/>
    <mergeCell ref="B33:C33"/>
    <mergeCell ref="B34:C34"/>
    <mergeCell ref="A35:C35"/>
    <mergeCell ref="A37:D37"/>
    <mergeCell ref="A47:B47"/>
    <mergeCell ref="A49:D49"/>
    <mergeCell ref="B50:C50"/>
    <mergeCell ref="B51:C51"/>
    <mergeCell ref="A130:D130"/>
    <mergeCell ref="A132:D132"/>
    <mergeCell ref="C133:D133"/>
    <mergeCell ref="C134:D134"/>
    <mergeCell ref="C135:D135"/>
    <mergeCell ref="A1:D1"/>
    <mergeCell ref="A10:B10"/>
    <mergeCell ref="A11:B11"/>
    <mergeCell ref="C13:D13"/>
    <mergeCell ref="C14:D14"/>
    <mergeCell ref="C15:D15"/>
    <mergeCell ref="A3:D3"/>
    <mergeCell ref="C4:D4"/>
    <mergeCell ref="C5:D5"/>
    <mergeCell ref="C6:D6"/>
    <mergeCell ref="C7:D7"/>
    <mergeCell ref="A9:D9"/>
    <mergeCell ref="A28:C28"/>
    <mergeCell ref="C16:D16"/>
    <mergeCell ref="C17:D17"/>
    <mergeCell ref="A19:D19"/>
    <mergeCell ref="B20:C20"/>
    <mergeCell ref="B21:C21"/>
    <mergeCell ref="B22:C22"/>
    <mergeCell ref="C143:D143"/>
    <mergeCell ref="C144:D144"/>
    <mergeCell ref="C145:D145"/>
    <mergeCell ref="C146:D146"/>
    <mergeCell ref="A148:D148"/>
    <mergeCell ref="C136:D136"/>
    <mergeCell ref="A138:D138"/>
    <mergeCell ref="A139:B139"/>
    <mergeCell ref="A140:B140"/>
    <mergeCell ref="C142:D142"/>
    <mergeCell ref="B154:C154"/>
    <mergeCell ref="B155:C155"/>
    <mergeCell ref="B156:C156"/>
    <mergeCell ref="A157:C157"/>
    <mergeCell ref="A159:D159"/>
    <mergeCell ref="B149:C149"/>
    <mergeCell ref="B150:C150"/>
    <mergeCell ref="B151:C151"/>
    <mergeCell ref="B152:C152"/>
    <mergeCell ref="B153:C153"/>
    <mergeCell ref="A166:D166"/>
    <mergeCell ref="A176:B176"/>
    <mergeCell ref="A178:D178"/>
    <mergeCell ref="B179:C179"/>
    <mergeCell ref="B180:C180"/>
    <mergeCell ref="A160:D160"/>
    <mergeCell ref="B161:C161"/>
    <mergeCell ref="B162:C162"/>
    <mergeCell ref="B163:C163"/>
    <mergeCell ref="A164:C164"/>
    <mergeCell ref="A187:D187"/>
    <mergeCell ref="B188:C188"/>
    <mergeCell ref="B189:C189"/>
    <mergeCell ref="B190:C190"/>
    <mergeCell ref="B191:C191"/>
    <mergeCell ref="B181:C181"/>
    <mergeCell ref="B182:C182"/>
    <mergeCell ref="B183:C183"/>
    <mergeCell ref="B184:C184"/>
    <mergeCell ref="A185:C185"/>
    <mergeCell ref="B198:C198"/>
    <mergeCell ref="B199:C199"/>
    <mergeCell ref="B200:C200"/>
    <mergeCell ref="B201:C201"/>
    <mergeCell ref="A202:C202"/>
    <mergeCell ref="A192:C192"/>
    <mergeCell ref="A194:D194"/>
    <mergeCell ref="B195:C195"/>
    <mergeCell ref="B196:C196"/>
    <mergeCell ref="B197:C197"/>
    <mergeCell ref="B209:C209"/>
    <mergeCell ref="B210:C210"/>
    <mergeCell ref="B211:C211"/>
    <mergeCell ref="B212:C212"/>
    <mergeCell ref="A213:C213"/>
    <mergeCell ref="A204:D204"/>
    <mergeCell ref="A205:D205"/>
    <mergeCell ref="B206:C206"/>
    <mergeCell ref="B207:C207"/>
    <mergeCell ref="B208:C208"/>
    <mergeCell ref="B221:C221"/>
    <mergeCell ref="B222:C222"/>
    <mergeCell ref="B223:C223"/>
    <mergeCell ref="A224:C224"/>
    <mergeCell ref="A226:D226"/>
    <mergeCell ref="A215:D215"/>
    <mergeCell ref="B216:C216"/>
    <mergeCell ref="B217:C217"/>
    <mergeCell ref="A218:C218"/>
    <mergeCell ref="A220:D220"/>
    <mergeCell ref="A232:C232"/>
    <mergeCell ref="A234:D234"/>
    <mergeCell ref="B238:D238"/>
    <mergeCell ref="A242:B242"/>
    <mergeCell ref="A244:D244"/>
    <mergeCell ref="B227:C227"/>
    <mergeCell ref="B228:C228"/>
    <mergeCell ref="B229:C229"/>
    <mergeCell ref="B230:C230"/>
    <mergeCell ref="B231:C231"/>
    <mergeCell ref="B250:C250"/>
    <mergeCell ref="A251:C251"/>
    <mergeCell ref="B252:C252"/>
    <mergeCell ref="A253:C253"/>
    <mergeCell ref="B245:C245"/>
    <mergeCell ref="B246:C246"/>
    <mergeCell ref="B247:C247"/>
    <mergeCell ref="B248:C248"/>
    <mergeCell ref="B249:C249"/>
  </mergeCells>
  <printOptions horizontalCentered="1"/>
  <pageMargins left="0.78740157480314965" right="0.47244094488188981" top="1.3779527559055118" bottom="0.9055118110236221" header="0" footer="0"/>
  <pageSetup paperSize="9" scale="96" orientation="portrait" r:id="rId1"/>
  <colBreaks count="1" manualBreakCount="1">
    <brk id="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9"/>
  <sheetViews>
    <sheetView showGridLines="0" zoomScaleNormal="100" workbookViewId="0">
      <selection activeCell="D100" sqref="D100"/>
    </sheetView>
  </sheetViews>
  <sheetFormatPr defaultColWidth="12.625" defaultRowHeight="15" customHeight="1"/>
  <cols>
    <col min="1" max="1" width="8" style="35" customWidth="1"/>
    <col min="2" max="2" width="49.5" style="35" customWidth="1"/>
    <col min="3" max="3" width="15.5" style="35" customWidth="1"/>
    <col min="4" max="4" width="12.5" style="35" customWidth="1"/>
    <col min="5" max="16384" width="12.625" style="35"/>
  </cols>
  <sheetData>
    <row r="1" spans="1:6" s="63" customFormat="1" ht="15" customHeight="1"/>
    <row r="2" spans="1:6" s="50" customFormat="1" ht="14.25" customHeight="1">
      <c r="A2" s="51"/>
      <c r="B2" s="51"/>
      <c r="C2" s="51"/>
      <c r="D2" s="51"/>
    </row>
    <row r="3" spans="1:6" s="50" customFormat="1" ht="14.25" customHeight="1" thickBot="1">
      <c r="A3" s="143" t="s">
        <v>0</v>
      </c>
      <c r="B3" s="144"/>
      <c r="C3" s="144"/>
      <c r="D3" s="144"/>
    </row>
    <row r="4" spans="1:6" s="50" customFormat="1" ht="14.25" customHeight="1" thickBot="1">
      <c r="A4" s="9" t="s">
        <v>1</v>
      </c>
      <c r="B4" s="10" t="s">
        <v>2</v>
      </c>
      <c r="C4" s="158">
        <f>PORTEIRO!C4:D4</f>
        <v>44692</v>
      </c>
      <c r="D4" s="163"/>
    </row>
    <row r="5" spans="1:6" s="50" customFormat="1" ht="14.25" customHeight="1" thickBot="1">
      <c r="A5" s="9" t="s">
        <v>3</v>
      </c>
      <c r="B5" s="10" t="s">
        <v>4</v>
      </c>
      <c r="C5" s="162" t="str">
        <f>PORTEIRO!C5:D5</f>
        <v>Recife / PE</v>
      </c>
      <c r="D5" s="163"/>
    </row>
    <row r="6" spans="1:6" s="50" customFormat="1" ht="14.25" customHeight="1" thickBot="1">
      <c r="A6" s="9" t="s">
        <v>5</v>
      </c>
      <c r="B6" s="10" t="s">
        <v>6</v>
      </c>
      <c r="C6" s="154" t="str">
        <f>PORTEIRO!C6</f>
        <v>PE000089/2022</v>
      </c>
      <c r="D6" s="148"/>
    </row>
    <row r="7" spans="1:6" s="50" customFormat="1" ht="14.25" customHeight="1" thickBot="1">
      <c r="A7" s="9" t="s">
        <v>7</v>
      </c>
      <c r="B7" s="10" t="s">
        <v>8</v>
      </c>
      <c r="C7" s="154">
        <v>6</v>
      </c>
      <c r="D7" s="148"/>
    </row>
    <row r="8" spans="1:6" s="50" customFormat="1" ht="14.25" customHeight="1">
      <c r="A8" s="51"/>
      <c r="B8" s="51"/>
      <c r="C8" s="51"/>
      <c r="D8" s="51"/>
    </row>
    <row r="9" spans="1:6" s="50" customFormat="1" ht="14.25" customHeight="1" thickBot="1">
      <c r="A9" s="143" t="s">
        <v>9</v>
      </c>
      <c r="B9" s="144"/>
      <c r="C9" s="144"/>
      <c r="D9" s="144"/>
    </row>
    <row r="10" spans="1:6" s="50" customFormat="1" ht="14.25" customHeight="1" thickBot="1">
      <c r="A10" s="164" t="s">
        <v>10</v>
      </c>
      <c r="B10" s="148"/>
      <c r="C10" s="11" t="s">
        <v>11</v>
      </c>
      <c r="D10" s="11" t="s">
        <v>12</v>
      </c>
    </row>
    <row r="11" spans="1:6" s="50" customFormat="1" ht="14.25" customHeight="1" thickBot="1">
      <c r="A11" s="179" t="s">
        <v>116</v>
      </c>
      <c r="B11" s="148"/>
      <c r="C11" s="9" t="s">
        <v>141</v>
      </c>
      <c r="D11" s="9">
        <v>1</v>
      </c>
    </row>
    <row r="12" spans="1:6" s="50" customFormat="1" ht="14.25" customHeight="1" thickBot="1">
      <c r="A12" s="51"/>
      <c r="B12" s="51"/>
      <c r="C12" s="51"/>
      <c r="D12" s="51"/>
    </row>
    <row r="13" spans="1:6" s="50" customFormat="1" ht="14.25" customHeight="1" thickBot="1">
      <c r="A13" s="9">
        <v>1</v>
      </c>
      <c r="B13" s="10" t="s">
        <v>14</v>
      </c>
      <c r="C13" s="154" t="s">
        <v>132</v>
      </c>
      <c r="D13" s="148"/>
    </row>
    <row r="14" spans="1:6" s="50" customFormat="1" ht="14.25" customHeight="1" thickBot="1">
      <c r="A14" s="9">
        <v>2</v>
      </c>
      <c r="B14" s="10" t="s">
        <v>15</v>
      </c>
      <c r="C14" s="154" t="s">
        <v>133</v>
      </c>
      <c r="D14" s="148"/>
    </row>
    <row r="15" spans="1:6" s="50" customFormat="1" ht="14.25" customHeight="1" thickBot="1">
      <c r="A15" s="9">
        <v>3</v>
      </c>
      <c r="B15" s="10" t="s">
        <v>16</v>
      </c>
      <c r="C15" s="160"/>
      <c r="D15" s="161"/>
      <c r="F15" s="60">
        <v>1480</v>
      </c>
    </row>
    <row r="16" spans="1:6" s="50" customFormat="1" ht="14.25" customHeight="1" thickBot="1">
      <c r="A16" s="9">
        <v>4</v>
      </c>
      <c r="B16" s="10" t="s">
        <v>17</v>
      </c>
      <c r="C16" s="154" t="str">
        <f>C13</f>
        <v>Encarregado</v>
      </c>
      <c r="D16" s="148"/>
      <c r="F16" s="60">
        <f>F15*6%</f>
        <v>88.8</v>
      </c>
    </row>
    <row r="17" spans="1:4" s="50" customFormat="1" ht="14.25" customHeight="1" thickBot="1">
      <c r="A17" s="9">
        <v>5</v>
      </c>
      <c r="B17" s="10" t="s">
        <v>18</v>
      </c>
      <c r="C17" s="180" t="s">
        <v>110</v>
      </c>
      <c r="D17" s="148"/>
    </row>
    <row r="18" spans="1:4" s="50" customFormat="1" ht="14.25" customHeight="1">
      <c r="A18" s="51"/>
      <c r="B18" s="51"/>
      <c r="C18" s="51"/>
      <c r="D18" s="51"/>
    </row>
    <row r="19" spans="1:4" s="50" customFormat="1" ht="14.25" customHeight="1" thickBot="1">
      <c r="A19" s="143" t="s">
        <v>19</v>
      </c>
      <c r="B19" s="144"/>
      <c r="C19" s="144"/>
      <c r="D19" s="144"/>
    </row>
    <row r="20" spans="1:4" s="63" customFormat="1" ht="14.25" customHeight="1" thickBot="1">
      <c r="A20" s="12">
        <v>1</v>
      </c>
      <c r="B20" s="149" t="s">
        <v>20</v>
      </c>
      <c r="C20" s="148"/>
      <c r="D20" s="13" t="s">
        <v>21</v>
      </c>
    </row>
    <row r="21" spans="1:4" s="63" customFormat="1" ht="14.25" customHeight="1" thickBot="1">
      <c r="A21" s="14" t="s">
        <v>1</v>
      </c>
      <c r="B21" s="141" t="s">
        <v>22</v>
      </c>
      <c r="C21" s="142"/>
      <c r="D21" s="41">
        <f>C15</f>
        <v>0</v>
      </c>
    </row>
    <row r="22" spans="1:4" s="63" customFormat="1" ht="14.25" customHeight="1" thickBot="1">
      <c r="A22" s="14" t="s">
        <v>3</v>
      </c>
      <c r="B22" s="141" t="s">
        <v>23</v>
      </c>
      <c r="C22" s="142"/>
      <c r="D22" s="41"/>
    </row>
    <row r="23" spans="1:4" s="63" customFormat="1" ht="14.25" customHeight="1" thickBot="1">
      <c r="A23" s="14" t="s">
        <v>5</v>
      </c>
      <c r="B23" s="141" t="s">
        <v>24</v>
      </c>
      <c r="C23" s="142"/>
      <c r="D23" s="41"/>
    </row>
    <row r="24" spans="1:4" s="63" customFormat="1" ht="14.25" customHeight="1" thickBot="1">
      <c r="A24" s="14" t="s">
        <v>7</v>
      </c>
      <c r="B24" s="141" t="s">
        <v>25</v>
      </c>
      <c r="C24" s="142"/>
      <c r="D24" s="41"/>
    </row>
    <row r="25" spans="1:4" s="63" customFormat="1" ht="14.25" customHeight="1" thickBot="1">
      <c r="A25" s="14" t="s">
        <v>26</v>
      </c>
      <c r="B25" s="141" t="s">
        <v>27</v>
      </c>
      <c r="C25" s="142"/>
      <c r="D25" s="41"/>
    </row>
    <row r="26" spans="1:4" s="63" customFormat="1" ht="14.25" customHeight="1" thickBot="1">
      <c r="A26" s="14"/>
      <c r="B26" s="141"/>
      <c r="C26" s="142"/>
      <c r="D26" s="41"/>
    </row>
    <row r="27" spans="1:4" s="63" customFormat="1" ht="14.25" customHeight="1" thickBot="1">
      <c r="A27" s="14" t="s">
        <v>28</v>
      </c>
      <c r="B27" s="153" t="s">
        <v>29</v>
      </c>
      <c r="C27" s="142"/>
      <c r="D27" s="41"/>
    </row>
    <row r="28" spans="1:4" s="63" customFormat="1" ht="14.25" customHeight="1" thickBot="1">
      <c r="A28" s="147" t="s">
        <v>30</v>
      </c>
      <c r="B28" s="150"/>
      <c r="C28" s="148"/>
      <c r="D28" s="42">
        <f>SUM(D21:D27)</f>
        <v>0</v>
      </c>
    </row>
    <row r="29" spans="1:4" s="63" customFormat="1" ht="14.25" customHeight="1">
      <c r="A29" s="62"/>
      <c r="B29" s="62"/>
      <c r="C29" s="62"/>
      <c r="D29" s="62"/>
    </row>
    <row r="30" spans="1:4" s="63" customFormat="1" ht="14.25" customHeight="1">
      <c r="A30" s="143" t="s">
        <v>31</v>
      </c>
      <c r="B30" s="144"/>
      <c r="C30" s="144"/>
      <c r="D30" s="144"/>
    </row>
    <row r="31" spans="1:4" s="63" customFormat="1" ht="14.25" customHeight="1" thickBot="1">
      <c r="A31" s="151" t="s">
        <v>32</v>
      </c>
      <c r="B31" s="144"/>
      <c r="C31" s="144"/>
      <c r="D31" s="144"/>
    </row>
    <row r="32" spans="1:4" s="63" customFormat="1" ht="14.25" customHeight="1" thickBot="1">
      <c r="A32" s="12" t="s">
        <v>33</v>
      </c>
      <c r="B32" s="149" t="s">
        <v>34</v>
      </c>
      <c r="C32" s="148"/>
      <c r="D32" s="13" t="s">
        <v>21</v>
      </c>
    </row>
    <row r="33" spans="1:7" s="63" customFormat="1" ht="14.25" customHeight="1" thickBot="1">
      <c r="A33" s="14" t="s">
        <v>1</v>
      </c>
      <c r="B33" s="141" t="s">
        <v>35</v>
      </c>
      <c r="C33" s="142"/>
      <c r="D33" s="42">
        <f>D28*8.33%</f>
        <v>0</v>
      </c>
    </row>
    <row r="34" spans="1:7" s="63" customFormat="1" ht="14.25" customHeight="1" thickBot="1">
      <c r="A34" s="14" t="s">
        <v>3</v>
      </c>
      <c r="B34" s="153" t="s">
        <v>36</v>
      </c>
      <c r="C34" s="142"/>
      <c r="D34" s="42">
        <f>D28*12.1%</f>
        <v>0</v>
      </c>
    </row>
    <row r="35" spans="1:7" s="63" customFormat="1" ht="14.25" customHeight="1" thickBot="1">
      <c r="A35" s="147" t="s">
        <v>30</v>
      </c>
      <c r="B35" s="150"/>
      <c r="C35" s="148"/>
      <c r="D35" s="42">
        <f>SUM(D33:D34)</f>
        <v>0</v>
      </c>
    </row>
    <row r="36" spans="1:7" s="63" customFormat="1" ht="14.25" customHeight="1">
      <c r="A36" s="62"/>
      <c r="B36" s="62"/>
      <c r="C36" s="62"/>
      <c r="D36" s="62"/>
    </row>
    <row r="37" spans="1:7" s="63" customFormat="1" ht="32.25" customHeight="1" thickBot="1">
      <c r="A37" s="171" t="s">
        <v>37</v>
      </c>
      <c r="B37" s="144"/>
      <c r="C37" s="144"/>
      <c r="D37" s="144"/>
    </row>
    <row r="38" spans="1:7" s="63" customFormat="1" ht="14.25" customHeight="1" thickBot="1">
      <c r="A38" s="12" t="s">
        <v>38</v>
      </c>
      <c r="B38" s="13" t="s">
        <v>39</v>
      </c>
      <c r="C38" s="13" t="s">
        <v>40</v>
      </c>
      <c r="D38" s="13" t="s">
        <v>21</v>
      </c>
    </row>
    <row r="39" spans="1:7" s="63" customFormat="1" ht="14.25" customHeight="1" thickBot="1">
      <c r="A39" s="14" t="s">
        <v>1</v>
      </c>
      <c r="B39" s="17" t="s">
        <v>41</v>
      </c>
      <c r="C39" s="18">
        <v>0.2</v>
      </c>
      <c r="D39" s="42">
        <f>G39*C39</f>
        <v>0</v>
      </c>
      <c r="G39" s="46">
        <f>D35+D28</f>
        <v>0</v>
      </c>
    </row>
    <row r="40" spans="1:7" s="63" customFormat="1" ht="14.25" customHeight="1" thickBot="1">
      <c r="A40" s="14" t="s">
        <v>3</v>
      </c>
      <c r="B40" s="17" t="s">
        <v>42</v>
      </c>
      <c r="C40" s="18">
        <v>2.5000000000000001E-2</v>
      </c>
      <c r="D40" s="42">
        <f>G39*C40</f>
        <v>0</v>
      </c>
    </row>
    <row r="41" spans="1:7" s="63" customFormat="1" ht="14.25" customHeight="1" thickBot="1">
      <c r="A41" s="14" t="s">
        <v>5</v>
      </c>
      <c r="B41" s="17" t="s">
        <v>43</v>
      </c>
      <c r="C41" s="19">
        <f>ASG!C41</f>
        <v>0.03</v>
      </c>
      <c r="D41" s="42">
        <f>G39*C41</f>
        <v>0</v>
      </c>
    </row>
    <row r="42" spans="1:7" s="63" customFormat="1" ht="14.25" customHeight="1" thickBot="1">
      <c r="A42" s="14" t="s">
        <v>7</v>
      </c>
      <c r="B42" s="17" t="s">
        <v>44</v>
      </c>
      <c r="C42" s="18">
        <v>1.4999999999999999E-2</v>
      </c>
      <c r="D42" s="42">
        <f>G39*C42</f>
        <v>0</v>
      </c>
    </row>
    <row r="43" spans="1:7" s="63" customFormat="1" ht="14.25" customHeight="1" thickBot="1">
      <c r="A43" s="14" t="s">
        <v>26</v>
      </c>
      <c r="B43" s="17" t="s">
        <v>45</v>
      </c>
      <c r="C43" s="18">
        <v>0.01</v>
      </c>
      <c r="D43" s="42">
        <f>G39*C43</f>
        <v>0</v>
      </c>
    </row>
    <row r="44" spans="1:7" s="63" customFormat="1" ht="14.25" customHeight="1" thickBot="1">
      <c r="A44" s="14" t="s">
        <v>46</v>
      </c>
      <c r="B44" s="17" t="s">
        <v>47</v>
      </c>
      <c r="C44" s="18">
        <v>6.0000000000000001E-3</v>
      </c>
      <c r="D44" s="42">
        <f>G39*C44</f>
        <v>0</v>
      </c>
    </row>
    <row r="45" spans="1:7" s="63" customFormat="1" ht="14.25" customHeight="1" thickBot="1">
      <c r="A45" s="14" t="s">
        <v>28</v>
      </c>
      <c r="B45" s="17" t="s">
        <v>48</v>
      </c>
      <c r="C45" s="18">
        <v>2E-3</v>
      </c>
      <c r="D45" s="42">
        <f>G39*C45</f>
        <v>0</v>
      </c>
    </row>
    <row r="46" spans="1:7" s="63" customFormat="1" ht="14.25" customHeight="1" thickBot="1">
      <c r="A46" s="14" t="s">
        <v>49</v>
      </c>
      <c r="B46" s="17" t="s">
        <v>50</v>
      </c>
      <c r="C46" s="18">
        <v>0.08</v>
      </c>
      <c r="D46" s="42">
        <f>G39*C46</f>
        <v>0</v>
      </c>
    </row>
    <row r="47" spans="1:7" s="63" customFormat="1" ht="14.25" customHeight="1" thickBot="1">
      <c r="A47" s="147" t="s">
        <v>51</v>
      </c>
      <c r="B47" s="150"/>
      <c r="C47" s="36">
        <f t="shared" ref="C47:D47" si="0">SUM(C39:C46)</f>
        <v>0.36800000000000005</v>
      </c>
      <c r="D47" s="42">
        <f t="shared" si="0"/>
        <v>0</v>
      </c>
    </row>
    <row r="48" spans="1:7" s="63" customFormat="1" ht="14.25" customHeight="1">
      <c r="A48" s="62"/>
      <c r="B48" s="62"/>
      <c r="C48" s="62"/>
      <c r="D48" s="62"/>
    </row>
    <row r="49" spans="1:4" s="63" customFormat="1" ht="14.25" customHeight="1" thickBot="1">
      <c r="A49" s="172" t="s">
        <v>52</v>
      </c>
      <c r="B49" s="144"/>
      <c r="C49" s="144"/>
      <c r="D49" s="144"/>
    </row>
    <row r="50" spans="1:4" s="63" customFormat="1" ht="14.25" customHeight="1" thickBot="1">
      <c r="A50" s="12" t="s">
        <v>53</v>
      </c>
      <c r="B50" s="149" t="s">
        <v>54</v>
      </c>
      <c r="C50" s="148"/>
      <c r="D50" s="13" t="s">
        <v>21</v>
      </c>
    </row>
    <row r="51" spans="1:4" s="63" customFormat="1" ht="14.25" customHeight="1" thickBot="1">
      <c r="A51" s="14" t="s">
        <v>1</v>
      </c>
      <c r="B51" s="165" t="s">
        <v>55</v>
      </c>
      <c r="C51" s="148"/>
      <c r="D51" s="41"/>
    </row>
    <row r="52" spans="1:4" s="63" customFormat="1" ht="14.25" customHeight="1" thickBot="1">
      <c r="A52" s="14" t="s">
        <v>3</v>
      </c>
      <c r="B52" s="165" t="s">
        <v>56</v>
      </c>
      <c r="C52" s="148"/>
      <c r="D52" s="44"/>
    </row>
    <row r="53" spans="1:4" s="63" customFormat="1" ht="14.25" customHeight="1" thickBot="1">
      <c r="A53" s="20" t="s">
        <v>5</v>
      </c>
      <c r="B53" s="166" t="str">
        <f>ASG!B53</f>
        <v>Serviço assistencial</v>
      </c>
      <c r="C53" s="148"/>
      <c r="D53" s="44">
        <f>ASG!D53</f>
        <v>0</v>
      </c>
    </row>
    <row r="54" spans="1:4" s="63" customFormat="1" ht="14.25" customHeight="1" thickBot="1">
      <c r="A54" s="20" t="s">
        <v>7</v>
      </c>
      <c r="B54" s="166" t="str">
        <f>ASG!B54</f>
        <v>Seguro de Vida</v>
      </c>
      <c r="C54" s="148"/>
      <c r="D54" s="44">
        <f>ASG!D54</f>
        <v>0</v>
      </c>
    </row>
    <row r="55" spans="1:4" s="63" customFormat="1" ht="14.25" customHeight="1" thickBot="1">
      <c r="A55" s="147" t="s">
        <v>30</v>
      </c>
      <c r="B55" s="150"/>
      <c r="C55" s="148"/>
      <c r="D55" s="41">
        <f>SUM(D51:D54)</f>
        <v>0</v>
      </c>
    </row>
    <row r="56" spans="1:4" s="63" customFormat="1" ht="14.25" customHeight="1">
      <c r="A56" s="62"/>
      <c r="B56" s="62"/>
      <c r="C56" s="62"/>
      <c r="D56" s="62"/>
    </row>
    <row r="57" spans="1:4" s="63" customFormat="1" ht="14.25" customHeight="1" thickBot="1">
      <c r="A57" s="151" t="s">
        <v>57</v>
      </c>
      <c r="B57" s="144"/>
      <c r="C57" s="144"/>
      <c r="D57" s="144"/>
    </row>
    <row r="58" spans="1:4" s="63" customFormat="1" ht="14.25" customHeight="1" thickBot="1">
      <c r="A58" s="12">
        <v>2</v>
      </c>
      <c r="B58" s="149" t="s">
        <v>58</v>
      </c>
      <c r="C58" s="148"/>
      <c r="D58" s="13" t="s">
        <v>21</v>
      </c>
    </row>
    <row r="59" spans="1:4" s="63" customFormat="1" ht="14.25" customHeight="1" thickBot="1">
      <c r="A59" s="14" t="s">
        <v>33</v>
      </c>
      <c r="B59" s="165" t="s">
        <v>34</v>
      </c>
      <c r="C59" s="148"/>
      <c r="D59" s="41">
        <f>D35</f>
        <v>0</v>
      </c>
    </row>
    <row r="60" spans="1:4" s="63" customFormat="1" ht="14.25" customHeight="1" thickBot="1">
      <c r="A60" s="14" t="s">
        <v>38</v>
      </c>
      <c r="B60" s="165" t="s">
        <v>39</v>
      </c>
      <c r="C60" s="148"/>
      <c r="D60" s="41">
        <f>D47</f>
        <v>0</v>
      </c>
    </row>
    <row r="61" spans="1:4" s="63" customFormat="1" ht="14.25" customHeight="1" thickBot="1">
      <c r="A61" s="22" t="s">
        <v>53</v>
      </c>
      <c r="B61" s="170" t="s">
        <v>54</v>
      </c>
      <c r="C61" s="148"/>
      <c r="D61" s="41">
        <f>D55</f>
        <v>0</v>
      </c>
    </row>
    <row r="62" spans="1:4" s="63" customFormat="1" ht="14.25" customHeight="1" thickBot="1">
      <c r="A62" s="147" t="s">
        <v>30</v>
      </c>
      <c r="B62" s="150"/>
      <c r="C62" s="148"/>
      <c r="D62" s="41">
        <f>SUM(D59:D61)</f>
        <v>0</v>
      </c>
    </row>
    <row r="63" spans="1:4" s="63" customFormat="1" ht="14.25" customHeight="1">
      <c r="A63" s="6"/>
      <c r="B63" s="62"/>
      <c r="C63" s="62"/>
      <c r="D63" s="62"/>
    </row>
    <row r="64" spans="1:4" s="63" customFormat="1" ht="14.25" customHeight="1" thickBot="1">
      <c r="A64" s="143" t="s">
        <v>59</v>
      </c>
      <c r="B64" s="144"/>
      <c r="C64" s="144"/>
      <c r="D64" s="144"/>
    </row>
    <row r="65" spans="1:7" s="63" customFormat="1" ht="14.25" customHeight="1" thickBot="1">
      <c r="A65" s="12">
        <v>3</v>
      </c>
      <c r="B65" s="149" t="s">
        <v>60</v>
      </c>
      <c r="C65" s="148"/>
      <c r="D65" s="13" t="s">
        <v>21</v>
      </c>
    </row>
    <row r="66" spans="1:7" s="63" customFormat="1" ht="14.25" customHeight="1" thickBot="1">
      <c r="A66" s="14" t="s">
        <v>1</v>
      </c>
      <c r="B66" s="141" t="s">
        <v>61</v>
      </c>
      <c r="C66" s="142"/>
      <c r="D66" s="41">
        <f>$D$28*0.46%</f>
        <v>0</v>
      </c>
    </row>
    <row r="67" spans="1:7" s="63" customFormat="1" ht="14.25" customHeight="1" thickBot="1">
      <c r="A67" s="14" t="s">
        <v>3</v>
      </c>
      <c r="B67" s="141" t="s">
        <v>62</v>
      </c>
      <c r="C67" s="142"/>
      <c r="D67" s="41">
        <f>D66*C46</f>
        <v>0</v>
      </c>
    </row>
    <row r="68" spans="1:7" s="63" customFormat="1" ht="14.25" customHeight="1" thickBot="1">
      <c r="A68" s="14" t="s">
        <v>5</v>
      </c>
      <c r="B68" s="152" t="s">
        <v>63</v>
      </c>
      <c r="C68" s="142"/>
      <c r="D68" s="41">
        <f>D66*8%*40%</f>
        <v>0</v>
      </c>
    </row>
    <row r="69" spans="1:7" s="63" customFormat="1" ht="14.25" customHeight="1" thickBot="1">
      <c r="A69" s="14" t="s">
        <v>7</v>
      </c>
      <c r="B69" s="141" t="s">
        <v>64</v>
      </c>
      <c r="C69" s="142"/>
      <c r="D69" s="41">
        <f>$D$28*1.94%</f>
        <v>0</v>
      </c>
    </row>
    <row r="70" spans="1:7" s="63" customFormat="1" ht="14.25" customHeight="1" thickBot="1">
      <c r="A70" s="23" t="s">
        <v>26</v>
      </c>
      <c r="B70" s="168" t="s">
        <v>65</v>
      </c>
      <c r="C70" s="169"/>
      <c r="D70" s="41">
        <f>D69*C47</f>
        <v>0</v>
      </c>
    </row>
    <row r="71" spans="1:7" s="63" customFormat="1" ht="14.25" customHeight="1" thickBot="1">
      <c r="A71" s="22" t="s">
        <v>46</v>
      </c>
      <c r="B71" s="167" t="s">
        <v>66</v>
      </c>
      <c r="C71" s="148"/>
      <c r="D71" s="41">
        <f>$D$28*3.2%</f>
        <v>0</v>
      </c>
    </row>
    <row r="72" spans="1:7" s="63" customFormat="1" ht="14.25" customHeight="1" thickBot="1">
      <c r="A72" s="147" t="s">
        <v>30</v>
      </c>
      <c r="B72" s="150"/>
      <c r="C72" s="148"/>
      <c r="D72" s="42">
        <f>SUM(D66:D71)</f>
        <v>0</v>
      </c>
    </row>
    <row r="73" spans="1:7" s="63" customFormat="1" ht="14.25" customHeight="1">
      <c r="A73" s="62"/>
      <c r="B73" s="62"/>
      <c r="C73" s="62"/>
      <c r="D73" s="62"/>
    </row>
    <row r="74" spans="1:7" s="63" customFormat="1" ht="14.25" customHeight="1">
      <c r="A74" s="143" t="s">
        <v>67</v>
      </c>
      <c r="B74" s="144"/>
      <c r="C74" s="144"/>
      <c r="D74" s="144"/>
    </row>
    <row r="75" spans="1:7" s="63" customFormat="1" ht="14.25" customHeight="1" thickBot="1">
      <c r="A75" s="151" t="s">
        <v>68</v>
      </c>
      <c r="B75" s="144"/>
      <c r="C75" s="144"/>
      <c r="D75" s="144"/>
    </row>
    <row r="76" spans="1:7" s="63" customFormat="1" ht="14.25" customHeight="1" thickBot="1">
      <c r="A76" s="12" t="s">
        <v>69</v>
      </c>
      <c r="B76" s="149" t="s">
        <v>70</v>
      </c>
      <c r="C76" s="148"/>
      <c r="D76" s="13" t="s">
        <v>21</v>
      </c>
    </row>
    <row r="77" spans="1:7" s="63" customFormat="1" ht="14.25" customHeight="1" thickBot="1">
      <c r="A77" s="14" t="s">
        <v>1</v>
      </c>
      <c r="B77" s="152" t="s">
        <v>71</v>
      </c>
      <c r="C77" s="142"/>
      <c r="D77" s="41">
        <f>D28*1.62%</f>
        <v>0</v>
      </c>
      <c r="G77" s="43">
        <f>D28+D62+D72</f>
        <v>0</v>
      </c>
    </row>
    <row r="78" spans="1:7" s="63" customFormat="1" ht="14.25" customHeight="1" thickBot="1">
      <c r="A78" s="14" t="s">
        <v>3</v>
      </c>
      <c r="B78" s="152" t="s">
        <v>72</v>
      </c>
      <c r="C78" s="142"/>
      <c r="D78" s="41">
        <f>D28*0.28%</f>
        <v>0</v>
      </c>
    </row>
    <row r="79" spans="1:7" s="63" customFormat="1" ht="14.25" customHeight="1" thickBot="1">
      <c r="A79" s="14" t="s">
        <v>5</v>
      </c>
      <c r="B79" s="152" t="s">
        <v>73</v>
      </c>
      <c r="C79" s="142"/>
      <c r="D79" s="41">
        <f>D28*0.08%</f>
        <v>0</v>
      </c>
    </row>
    <row r="80" spans="1:7" s="63" customFormat="1" ht="14.25" customHeight="1" thickBot="1">
      <c r="A80" s="14" t="s">
        <v>7</v>
      </c>
      <c r="B80" s="141" t="s">
        <v>74</v>
      </c>
      <c r="C80" s="142"/>
      <c r="D80" s="41">
        <f>D28*0.27%</f>
        <v>0</v>
      </c>
    </row>
    <row r="81" spans="1:4" s="63" customFormat="1" ht="14.25" customHeight="1" thickBot="1">
      <c r="A81" s="14" t="s">
        <v>26</v>
      </c>
      <c r="B81" s="177" t="s">
        <v>75</v>
      </c>
      <c r="C81" s="142"/>
      <c r="D81" s="41">
        <f>D28*0.03%</f>
        <v>0</v>
      </c>
    </row>
    <row r="82" spans="1:4" s="63" customFormat="1" ht="14.25" customHeight="1" thickBot="1">
      <c r="A82" s="14" t="s">
        <v>46</v>
      </c>
      <c r="B82" s="178" t="s">
        <v>76</v>
      </c>
      <c r="C82" s="142"/>
      <c r="D82" s="41"/>
    </row>
    <row r="83" spans="1:4" s="63" customFormat="1" ht="14.25" customHeight="1" thickBot="1">
      <c r="A83" s="147" t="s">
        <v>51</v>
      </c>
      <c r="B83" s="150"/>
      <c r="C83" s="148"/>
      <c r="D83" s="41">
        <f>SUM(D77:D82)</f>
        <v>0</v>
      </c>
    </row>
    <row r="84" spans="1:4" s="63" customFormat="1" ht="14.25" customHeight="1">
      <c r="A84" s="62"/>
      <c r="B84" s="62"/>
      <c r="C84" s="62"/>
      <c r="D84" s="62"/>
    </row>
    <row r="85" spans="1:4" s="63" customFormat="1" ht="14.25" customHeight="1" thickBot="1">
      <c r="A85" s="151" t="s">
        <v>77</v>
      </c>
      <c r="B85" s="144"/>
      <c r="C85" s="144"/>
      <c r="D85" s="144"/>
    </row>
    <row r="86" spans="1:4" s="63" customFormat="1" ht="14.25" customHeight="1" thickBot="1">
      <c r="A86" s="12" t="s">
        <v>78</v>
      </c>
      <c r="B86" s="149" t="s">
        <v>79</v>
      </c>
      <c r="C86" s="148"/>
      <c r="D86" s="13" t="s">
        <v>21</v>
      </c>
    </row>
    <row r="87" spans="1:4" s="63" customFormat="1" ht="14.25" customHeight="1" thickBot="1">
      <c r="A87" s="14" t="s">
        <v>1</v>
      </c>
      <c r="B87" s="153" t="s">
        <v>80</v>
      </c>
      <c r="C87" s="142"/>
      <c r="D87" s="41">
        <v>0</v>
      </c>
    </row>
    <row r="88" spans="1:4" s="63" customFormat="1" ht="14.25" customHeight="1" thickBot="1">
      <c r="A88" s="147" t="s">
        <v>30</v>
      </c>
      <c r="B88" s="150"/>
      <c r="C88" s="148"/>
      <c r="D88" s="42">
        <f>D87</f>
        <v>0</v>
      </c>
    </row>
    <row r="89" spans="1:4" s="63" customFormat="1" ht="14.25" customHeight="1">
      <c r="A89" s="62"/>
      <c r="B89" s="62"/>
      <c r="C89" s="62"/>
      <c r="D89" s="62"/>
    </row>
    <row r="90" spans="1:4" s="63" customFormat="1" ht="14.25" customHeight="1" thickBot="1">
      <c r="A90" s="151" t="s">
        <v>81</v>
      </c>
      <c r="B90" s="144"/>
      <c r="C90" s="144"/>
      <c r="D90" s="144"/>
    </row>
    <row r="91" spans="1:4" s="63" customFormat="1" ht="14.25" customHeight="1" thickBot="1">
      <c r="A91" s="12">
        <v>4</v>
      </c>
      <c r="B91" s="149" t="s">
        <v>82</v>
      </c>
      <c r="C91" s="148"/>
      <c r="D91" s="13" t="s">
        <v>21</v>
      </c>
    </row>
    <row r="92" spans="1:4" s="63" customFormat="1" ht="14.25" customHeight="1" thickBot="1">
      <c r="A92" s="14" t="s">
        <v>69</v>
      </c>
      <c r="B92" s="141" t="s">
        <v>70</v>
      </c>
      <c r="C92" s="142"/>
      <c r="D92" s="41">
        <f>D83</f>
        <v>0</v>
      </c>
    </row>
    <row r="93" spans="1:4" s="63" customFormat="1" ht="14.25" customHeight="1" thickBot="1">
      <c r="A93" s="14" t="s">
        <v>78</v>
      </c>
      <c r="B93" s="153" t="s">
        <v>79</v>
      </c>
      <c r="C93" s="142"/>
      <c r="D93" s="41">
        <f>D88</f>
        <v>0</v>
      </c>
    </row>
    <row r="94" spans="1:4" s="63" customFormat="1" ht="14.25" customHeight="1" thickBot="1">
      <c r="A94" s="147" t="s">
        <v>30</v>
      </c>
      <c r="B94" s="150"/>
      <c r="C94" s="148"/>
      <c r="D94" s="41">
        <f>SUM(D92:D93)</f>
        <v>0</v>
      </c>
    </row>
    <row r="95" spans="1:4" s="63" customFormat="1" ht="14.25" customHeight="1">
      <c r="A95" s="62"/>
      <c r="B95" s="62"/>
      <c r="C95" s="62"/>
      <c r="D95" s="62"/>
    </row>
    <row r="96" spans="1:4" s="63" customFormat="1" ht="14.25" customHeight="1" thickBot="1">
      <c r="A96" s="143" t="s">
        <v>83</v>
      </c>
      <c r="B96" s="144"/>
      <c r="C96" s="144"/>
      <c r="D96" s="144"/>
    </row>
    <row r="97" spans="1:8" s="63" customFormat="1" ht="14.25" customHeight="1" thickBot="1">
      <c r="A97" s="12">
        <v>5</v>
      </c>
      <c r="B97" s="149" t="s">
        <v>84</v>
      </c>
      <c r="C97" s="148"/>
      <c r="D97" s="13" t="s">
        <v>21</v>
      </c>
    </row>
    <row r="98" spans="1:8" s="63" customFormat="1" ht="14.25" customHeight="1" thickBot="1">
      <c r="A98" s="14" t="s">
        <v>1</v>
      </c>
      <c r="B98" s="141" t="s">
        <v>85</v>
      </c>
      <c r="C98" s="142"/>
      <c r="D98" s="44"/>
    </row>
    <row r="99" spans="1:8" s="63" customFormat="1" ht="14.25" customHeight="1" thickBot="1">
      <c r="A99" s="14" t="s">
        <v>3</v>
      </c>
      <c r="B99" s="153" t="s">
        <v>86</v>
      </c>
      <c r="C99" s="142"/>
      <c r="D99" s="42">
        <v>0</v>
      </c>
    </row>
    <row r="100" spans="1:8" s="63" customFormat="1" ht="14.25" customHeight="1" thickBot="1">
      <c r="A100" s="22" t="s">
        <v>5</v>
      </c>
      <c r="B100" s="170" t="s">
        <v>102</v>
      </c>
      <c r="C100" s="148"/>
      <c r="D100" s="42"/>
    </row>
    <row r="101" spans="1:8" s="63" customFormat="1" ht="14.25" customHeight="1" thickBot="1">
      <c r="A101" s="22" t="s">
        <v>7</v>
      </c>
      <c r="B101" s="167" t="s">
        <v>87</v>
      </c>
      <c r="C101" s="148"/>
      <c r="D101" s="42"/>
    </row>
    <row r="102" spans="1:8" s="63" customFormat="1" ht="14.25" customHeight="1" thickBot="1">
      <c r="A102" s="147" t="s">
        <v>51</v>
      </c>
      <c r="B102" s="150"/>
      <c r="C102" s="148"/>
      <c r="D102" s="42">
        <f>SUM(D98:D101)</f>
        <v>0</v>
      </c>
    </row>
    <row r="103" spans="1:8" s="63" customFormat="1" ht="14.25" customHeight="1">
      <c r="A103" s="62"/>
      <c r="B103" s="62"/>
      <c r="C103" s="62"/>
      <c r="D103" s="62"/>
    </row>
    <row r="104" spans="1:8" s="63" customFormat="1" ht="14.25" customHeight="1" thickBot="1">
      <c r="A104" s="143" t="s">
        <v>88</v>
      </c>
      <c r="B104" s="144"/>
      <c r="C104" s="144"/>
      <c r="D104" s="144"/>
    </row>
    <row r="105" spans="1:8" s="63" customFormat="1" ht="14.25" customHeight="1" thickBot="1">
      <c r="A105" s="12">
        <v>6</v>
      </c>
      <c r="B105" s="24" t="s">
        <v>89</v>
      </c>
      <c r="C105" s="25" t="s">
        <v>90</v>
      </c>
      <c r="D105" s="13" t="s">
        <v>21</v>
      </c>
    </row>
    <row r="106" spans="1:8" s="63" customFormat="1" ht="14.25" customHeight="1" thickBot="1">
      <c r="A106" s="14" t="s">
        <v>1</v>
      </c>
      <c r="B106" s="17" t="s">
        <v>91</v>
      </c>
      <c r="C106" s="19">
        <f>ASG!C107</f>
        <v>0.03</v>
      </c>
      <c r="D106" s="41">
        <f>ROUND((G106*C106),2)</f>
        <v>0</v>
      </c>
      <c r="G106" s="43">
        <f>G77+D94+D102</f>
        <v>0</v>
      </c>
    </row>
    <row r="107" spans="1:8" s="63" customFormat="1" ht="14.25" customHeight="1" thickBot="1">
      <c r="A107" s="14" t="s">
        <v>3</v>
      </c>
      <c r="B107" s="17" t="s">
        <v>92</v>
      </c>
      <c r="C107" s="19">
        <f>ASG!C108</f>
        <v>6.7900000000000002E-2</v>
      </c>
      <c r="D107" s="41">
        <f>ROUND((H107*C107),2)</f>
        <v>0</v>
      </c>
      <c r="H107" s="43">
        <f>G106+D106</f>
        <v>0</v>
      </c>
    </row>
    <row r="108" spans="1:8" s="63" customFormat="1" ht="14.25" customHeight="1" thickBot="1">
      <c r="A108" s="14" t="s">
        <v>5</v>
      </c>
      <c r="B108" s="145" t="s">
        <v>93</v>
      </c>
      <c r="C108" s="146"/>
      <c r="D108" s="142"/>
    </row>
    <row r="109" spans="1:8" s="63" customFormat="1" ht="14.25" customHeight="1" thickBot="1">
      <c r="A109" s="14"/>
      <c r="B109" s="26" t="s">
        <v>94</v>
      </c>
      <c r="C109" s="27">
        <v>3.6499999999999998E-2</v>
      </c>
      <c r="D109" s="41">
        <f>ROUND((G117*C109),2)</f>
        <v>0</v>
      </c>
    </row>
    <row r="110" spans="1:8" s="63" customFormat="1" ht="14.25" customHeight="1" thickBot="1">
      <c r="A110" s="14"/>
      <c r="B110" s="17" t="s">
        <v>126</v>
      </c>
      <c r="C110" s="27">
        <v>0</v>
      </c>
      <c r="D110" s="41">
        <f>G117*C110</f>
        <v>0</v>
      </c>
    </row>
    <row r="111" spans="1:8" s="63" customFormat="1" ht="14.25" customHeight="1" thickBot="1">
      <c r="A111" s="14"/>
      <c r="B111" s="26" t="s">
        <v>95</v>
      </c>
      <c r="C111" s="28">
        <v>0.05</v>
      </c>
      <c r="D111" s="41">
        <f>ROUND((G117*C111),2)</f>
        <v>0</v>
      </c>
    </row>
    <row r="112" spans="1:8" s="63" customFormat="1" ht="14.25" customHeight="1" thickBot="1">
      <c r="A112" s="147" t="s">
        <v>51</v>
      </c>
      <c r="B112" s="148"/>
      <c r="C112" s="29"/>
      <c r="D112" s="45">
        <f>SUM(D106:D107,D109:D111)</f>
        <v>0</v>
      </c>
    </row>
    <row r="113" spans="1:7" s="63" customFormat="1" ht="14.25" customHeight="1">
      <c r="A113" s="62"/>
      <c r="B113" s="62"/>
      <c r="C113" s="62"/>
      <c r="D113" s="62"/>
    </row>
    <row r="114" spans="1:7" s="63" customFormat="1" ht="14.25" customHeight="1" thickBot="1">
      <c r="A114" s="143" t="s">
        <v>96</v>
      </c>
      <c r="B114" s="144"/>
      <c r="C114" s="144"/>
      <c r="D114" s="144"/>
    </row>
    <row r="115" spans="1:7" s="63" customFormat="1" ht="14.25" customHeight="1" thickBot="1">
      <c r="A115" s="12"/>
      <c r="B115" s="149" t="s">
        <v>97</v>
      </c>
      <c r="C115" s="148"/>
      <c r="D115" s="13" t="s">
        <v>21</v>
      </c>
      <c r="G115" s="43">
        <f>H107+D107</f>
        <v>0</v>
      </c>
    </row>
    <row r="116" spans="1:7" s="63" customFormat="1" ht="14.25" customHeight="1" thickBot="1">
      <c r="A116" s="30" t="s">
        <v>1</v>
      </c>
      <c r="B116" s="141" t="s">
        <v>19</v>
      </c>
      <c r="C116" s="142"/>
      <c r="D116" s="42">
        <f>D28</f>
        <v>0</v>
      </c>
      <c r="F116" s="63">
        <f>ASG!F121</f>
        <v>0.91349999999999998</v>
      </c>
    </row>
    <row r="117" spans="1:7" s="63" customFormat="1" ht="14.25" customHeight="1" thickBot="1">
      <c r="A117" s="30" t="s">
        <v>3</v>
      </c>
      <c r="B117" s="141" t="s">
        <v>31</v>
      </c>
      <c r="C117" s="142"/>
      <c r="D117" s="42">
        <f>D62</f>
        <v>0</v>
      </c>
      <c r="G117" s="43">
        <f>ROUND((G115/F116),2)</f>
        <v>0</v>
      </c>
    </row>
    <row r="118" spans="1:7" s="63" customFormat="1" ht="14.25" customHeight="1" thickBot="1">
      <c r="A118" s="30" t="s">
        <v>5</v>
      </c>
      <c r="B118" s="141" t="s">
        <v>59</v>
      </c>
      <c r="C118" s="142"/>
      <c r="D118" s="42">
        <f>D72</f>
        <v>0</v>
      </c>
    </row>
    <row r="119" spans="1:7" s="63" customFormat="1" ht="14.25" customHeight="1" thickBot="1">
      <c r="A119" s="30" t="s">
        <v>7</v>
      </c>
      <c r="B119" s="141" t="s">
        <v>67</v>
      </c>
      <c r="C119" s="142"/>
      <c r="D119" s="42">
        <f>D94</f>
        <v>0</v>
      </c>
    </row>
    <row r="120" spans="1:7" s="63" customFormat="1" ht="14.25" customHeight="1" thickBot="1">
      <c r="A120" s="30" t="s">
        <v>26</v>
      </c>
      <c r="B120" s="153" t="s">
        <v>83</v>
      </c>
      <c r="C120" s="142"/>
      <c r="D120" s="42">
        <f>D102</f>
        <v>0</v>
      </c>
    </row>
    <row r="121" spans="1:7" s="63" customFormat="1" ht="14.25" customHeight="1" thickBot="1">
      <c r="A121" s="147" t="s">
        <v>98</v>
      </c>
      <c r="B121" s="150"/>
      <c r="C121" s="148"/>
      <c r="D121" s="42">
        <f>SUM(D116:D120)</f>
        <v>0</v>
      </c>
    </row>
    <row r="122" spans="1:7" s="63" customFormat="1" ht="14.25" customHeight="1" thickBot="1">
      <c r="A122" s="12" t="s">
        <v>46</v>
      </c>
      <c r="B122" s="170" t="s">
        <v>99</v>
      </c>
      <c r="C122" s="148"/>
      <c r="D122" s="42">
        <f>D112</f>
        <v>0</v>
      </c>
    </row>
    <row r="123" spans="1:7" s="74" customFormat="1" ht="14.25" customHeight="1" thickBot="1">
      <c r="A123" s="173" t="s">
        <v>100</v>
      </c>
      <c r="B123" s="150"/>
      <c r="C123" s="148"/>
      <c r="D123" s="45">
        <f>ROUND((SUM(D121:D122)),2)</f>
        <v>0</v>
      </c>
      <c r="F123" s="75"/>
    </row>
    <row r="124" spans="1:7" s="63" customFormat="1" ht="15" customHeight="1">
      <c r="A124" s="32"/>
      <c r="B124" s="31"/>
      <c r="C124" s="31"/>
      <c r="D124" s="31"/>
      <c r="E124" s="31"/>
    </row>
    <row r="125" spans="1:7" s="50" customFormat="1" ht="15" customHeight="1">
      <c r="A125" s="32"/>
      <c r="B125" s="31"/>
      <c r="C125" s="31"/>
      <c r="D125" s="31"/>
      <c r="E125" s="31"/>
    </row>
    <row r="126" spans="1:7" s="50" customFormat="1" ht="15" customHeight="1">
      <c r="A126" s="32"/>
      <c r="B126" s="31"/>
      <c r="C126" s="31"/>
      <c r="D126" s="31"/>
      <c r="E126" s="31"/>
    </row>
    <row r="127" spans="1:7" s="50" customFormat="1" ht="15" customHeight="1">
      <c r="A127" s="32"/>
      <c r="B127" s="31"/>
      <c r="C127" s="31"/>
      <c r="D127" s="31"/>
      <c r="E127" s="31"/>
    </row>
    <row r="128" spans="1:7" s="40" customFormat="1" ht="15" customHeight="1">
      <c r="A128" s="32"/>
      <c r="B128" s="31"/>
      <c r="C128" s="31"/>
      <c r="D128" s="31"/>
      <c r="E128" s="31"/>
    </row>
    <row r="129" spans="1:1" ht="15" customHeight="1">
      <c r="A129" s="33"/>
    </row>
  </sheetData>
  <mergeCells count="92">
    <mergeCell ref="B120:C120"/>
    <mergeCell ref="A121:C121"/>
    <mergeCell ref="B122:C122"/>
    <mergeCell ref="A123:C123"/>
    <mergeCell ref="B119:C119"/>
    <mergeCell ref="B116:C116"/>
    <mergeCell ref="B117:C117"/>
    <mergeCell ref="B100:C100"/>
    <mergeCell ref="B101:C101"/>
    <mergeCell ref="A102:C102"/>
    <mergeCell ref="A104:D104"/>
    <mergeCell ref="B108:D108"/>
    <mergeCell ref="B118:C118"/>
    <mergeCell ref="B99:C99"/>
    <mergeCell ref="B86:C86"/>
    <mergeCell ref="B87:C87"/>
    <mergeCell ref="A88:C88"/>
    <mergeCell ref="A90:D90"/>
    <mergeCell ref="B91:C91"/>
    <mergeCell ref="B92:C92"/>
    <mergeCell ref="B93:C93"/>
    <mergeCell ref="A94:C94"/>
    <mergeCell ref="A96:D96"/>
    <mergeCell ref="B97:C97"/>
    <mergeCell ref="B98:C98"/>
    <mergeCell ref="A112:B112"/>
    <mergeCell ref="A114:D114"/>
    <mergeCell ref="B115:C115"/>
    <mergeCell ref="A85:D85"/>
    <mergeCell ref="A72:C72"/>
    <mergeCell ref="A74:D74"/>
    <mergeCell ref="A75:D75"/>
    <mergeCell ref="B76:C76"/>
    <mergeCell ref="B77:C77"/>
    <mergeCell ref="B78:C78"/>
    <mergeCell ref="B79:C79"/>
    <mergeCell ref="B80:C80"/>
    <mergeCell ref="B81:C81"/>
    <mergeCell ref="B82:C82"/>
    <mergeCell ref="A83:C83"/>
    <mergeCell ref="B71:C71"/>
    <mergeCell ref="B59:C59"/>
    <mergeCell ref="B60:C60"/>
    <mergeCell ref="B61:C61"/>
    <mergeCell ref="A62:C62"/>
    <mergeCell ref="A64:D64"/>
    <mergeCell ref="B65:C65"/>
    <mergeCell ref="B66:C66"/>
    <mergeCell ref="B67:C67"/>
    <mergeCell ref="B68:C68"/>
    <mergeCell ref="B69:C69"/>
    <mergeCell ref="B70:C70"/>
    <mergeCell ref="B22:C22"/>
    <mergeCell ref="B58:C58"/>
    <mergeCell ref="A37:D37"/>
    <mergeCell ref="A47:B47"/>
    <mergeCell ref="A49:D49"/>
    <mergeCell ref="B50:C50"/>
    <mergeCell ref="B51:C51"/>
    <mergeCell ref="B52:C52"/>
    <mergeCell ref="B53:C53"/>
    <mergeCell ref="B54:C54"/>
    <mergeCell ref="A55:C55"/>
    <mergeCell ref="A57:D57"/>
    <mergeCell ref="A9:D9"/>
    <mergeCell ref="A10:B10"/>
    <mergeCell ref="A11:B11"/>
    <mergeCell ref="B21:C21"/>
    <mergeCell ref="A35:C35"/>
    <mergeCell ref="B23:C23"/>
    <mergeCell ref="B24:C24"/>
    <mergeCell ref="B25:C25"/>
    <mergeCell ref="B26:C26"/>
    <mergeCell ref="B27:C27"/>
    <mergeCell ref="A28:C28"/>
    <mergeCell ref="A30:D30"/>
    <mergeCell ref="A31:D31"/>
    <mergeCell ref="B32:C32"/>
    <mergeCell ref="B33:C33"/>
    <mergeCell ref="B34:C34"/>
    <mergeCell ref="A3:D3"/>
    <mergeCell ref="C4:D4"/>
    <mergeCell ref="C5:D5"/>
    <mergeCell ref="C6:D6"/>
    <mergeCell ref="C7:D7"/>
    <mergeCell ref="C16:D16"/>
    <mergeCell ref="C17:D17"/>
    <mergeCell ref="A19:D19"/>
    <mergeCell ref="B20:C20"/>
    <mergeCell ref="C13:D13"/>
    <mergeCell ref="C14:D14"/>
    <mergeCell ref="C15:D15"/>
  </mergeCells>
  <printOptions horizontalCentered="1"/>
  <pageMargins left="0.78740157480314965" right="0.47244094488188981" top="1.3779527559055118" bottom="0.9055118110236221" header="0" footer="0"/>
  <pageSetup paperSize="9" scale="96" orientation="portrait" r:id="rId1"/>
  <colBreaks count="1" manualBreakCount="1">
    <brk id="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80"/>
  <sheetViews>
    <sheetView topLeftCell="A67" workbookViewId="0">
      <selection activeCell="A2" sqref="A2:F2"/>
    </sheetView>
  </sheetViews>
  <sheetFormatPr defaultRowHeight="14.25"/>
  <cols>
    <col min="1" max="1" width="10.75" style="1" customWidth="1"/>
    <col min="2" max="2" width="46.75" customWidth="1"/>
    <col min="4" max="4" width="14.5" customWidth="1"/>
    <col min="5" max="5" width="10.625" customWidth="1"/>
    <col min="6" max="6" width="15.375" customWidth="1"/>
  </cols>
  <sheetData>
    <row r="1" spans="1:22" s="1" customFormat="1" ht="15" thickBot="1">
      <c r="A1" s="140"/>
      <c r="B1" s="250"/>
      <c r="C1" s="250"/>
      <c r="D1" s="255"/>
      <c r="E1" s="256"/>
      <c r="F1" s="255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ht="15.75" thickBot="1">
      <c r="A2" s="257" t="s">
        <v>352</v>
      </c>
      <c r="B2" s="258"/>
      <c r="C2" s="258"/>
      <c r="D2" s="258"/>
      <c r="E2" s="258"/>
      <c r="F2" s="259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2" ht="30.75" thickBot="1">
      <c r="A3" s="260" t="s">
        <v>158</v>
      </c>
      <c r="B3" s="261" t="s">
        <v>244</v>
      </c>
      <c r="C3" s="262" t="s">
        <v>245</v>
      </c>
      <c r="D3" s="263" t="s">
        <v>246</v>
      </c>
      <c r="E3" s="251" t="s">
        <v>163</v>
      </c>
      <c r="F3" s="254" t="s">
        <v>316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ht="60.75" thickBot="1">
      <c r="A4" s="264">
        <v>1</v>
      </c>
      <c r="B4" s="253" t="s">
        <v>247</v>
      </c>
      <c r="C4" s="265" t="s">
        <v>248</v>
      </c>
      <c r="D4" s="266">
        <v>72</v>
      </c>
      <c r="E4" s="267"/>
      <c r="F4" s="268">
        <f>SUM(D4*E4)</f>
        <v>0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ht="30.75" thickBot="1">
      <c r="A5" s="269" t="s">
        <v>158</v>
      </c>
      <c r="B5" s="261" t="s">
        <v>249</v>
      </c>
      <c r="C5" s="269" t="s">
        <v>245</v>
      </c>
      <c r="D5" s="261" t="s">
        <v>246</v>
      </c>
      <c r="E5" s="251" t="s">
        <v>163</v>
      </c>
      <c r="F5" s="254" t="s">
        <v>316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2" ht="30.75" thickBot="1">
      <c r="A6" s="264">
        <v>2</v>
      </c>
      <c r="B6" s="270" t="s">
        <v>250</v>
      </c>
      <c r="C6" s="265" t="s">
        <v>248</v>
      </c>
      <c r="D6" s="271">
        <v>96</v>
      </c>
      <c r="E6" s="272"/>
      <c r="F6" s="268">
        <f t="shared" ref="F6:F58" si="0">SUM(D6*E6)</f>
        <v>0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1:22" ht="30.75" thickBot="1">
      <c r="A7" s="269" t="s">
        <v>158</v>
      </c>
      <c r="B7" s="261" t="s">
        <v>251</v>
      </c>
      <c r="C7" s="269" t="s">
        <v>245</v>
      </c>
      <c r="D7" s="261" t="s">
        <v>246</v>
      </c>
      <c r="E7" s="251" t="s">
        <v>163</v>
      </c>
      <c r="F7" s="254" t="s">
        <v>316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2" ht="45.75" thickBot="1">
      <c r="A8" s="264">
        <v>3</v>
      </c>
      <c r="B8" s="270" t="s">
        <v>252</v>
      </c>
      <c r="C8" s="265" t="s">
        <v>253</v>
      </c>
      <c r="D8" s="261">
        <v>120</v>
      </c>
      <c r="E8" s="273"/>
      <c r="F8" s="268">
        <f t="shared" si="0"/>
        <v>0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ht="30.75" thickBot="1">
      <c r="A9" s="269" t="s">
        <v>158</v>
      </c>
      <c r="B9" s="261" t="s">
        <v>254</v>
      </c>
      <c r="C9" s="269" t="s">
        <v>245</v>
      </c>
      <c r="D9" s="261" t="s">
        <v>246</v>
      </c>
      <c r="E9" s="251" t="s">
        <v>163</v>
      </c>
      <c r="F9" s="254" t="s">
        <v>316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2" ht="45.75" thickBot="1">
      <c r="A10" s="264">
        <v>4</v>
      </c>
      <c r="B10" s="270" t="s">
        <v>255</v>
      </c>
      <c r="C10" s="265" t="s">
        <v>253</v>
      </c>
      <c r="D10" s="261">
        <v>120</v>
      </c>
      <c r="E10" s="272"/>
      <c r="F10" s="268">
        <f t="shared" si="0"/>
        <v>0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</row>
    <row r="11" spans="1:22" ht="30.75" thickBot="1">
      <c r="A11" s="269" t="s">
        <v>158</v>
      </c>
      <c r="B11" s="261" t="s">
        <v>256</v>
      </c>
      <c r="C11" s="269" t="s">
        <v>245</v>
      </c>
      <c r="D11" s="261" t="s">
        <v>246</v>
      </c>
      <c r="E11" s="251" t="s">
        <v>163</v>
      </c>
      <c r="F11" s="254" t="s">
        <v>316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</row>
    <row r="12" spans="1:22" ht="195.75" thickBot="1">
      <c r="A12" s="264">
        <v>5</v>
      </c>
      <c r="B12" s="270" t="s">
        <v>257</v>
      </c>
      <c r="C12" s="272" t="s">
        <v>258</v>
      </c>
      <c r="D12" s="274">
        <v>96</v>
      </c>
      <c r="E12" s="267"/>
      <c r="F12" s="268">
        <f t="shared" si="0"/>
        <v>0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2" ht="30.75" thickBot="1">
      <c r="A13" s="269" t="s">
        <v>158</v>
      </c>
      <c r="B13" s="261" t="s">
        <v>259</v>
      </c>
      <c r="C13" s="269" t="s">
        <v>245</v>
      </c>
      <c r="D13" s="261" t="s">
        <v>246</v>
      </c>
      <c r="E13" s="251" t="s">
        <v>163</v>
      </c>
      <c r="F13" s="254" t="s">
        <v>316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1:22" thickBot="1">
      <c r="A14" s="264">
        <v>6</v>
      </c>
      <c r="B14" s="253" t="s">
        <v>260</v>
      </c>
      <c r="C14" s="272" t="s">
        <v>258</v>
      </c>
      <c r="D14" s="274">
        <v>48</v>
      </c>
      <c r="E14" s="267"/>
      <c r="F14" s="268">
        <f t="shared" si="0"/>
        <v>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ht="30.75" thickBot="1">
      <c r="A15" s="269" t="s">
        <v>158</v>
      </c>
      <c r="B15" s="261" t="s">
        <v>261</v>
      </c>
      <c r="C15" s="269" t="s">
        <v>245</v>
      </c>
      <c r="D15" s="261" t="s">
        <v>246</v>
      </c>
      <c r="E15" s="251" t="s">
        <v>163</v>
      </c>
      <c r="F15" s="254" t="s">
        <v>316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</row>
    <row r="16" spans="1:22" ht="45.75" thickBot="1">
      <c r="A16" s="264">
        <v>7</v>
      </c>
      <c r="B16" s="270" t="s">
        <v>262</v>
      </c>
      <c r="C16" s="265" t="s">
        <v>263</v>
      </c>
      <c r="D16" s="271">
        <v>72</v>
      </c>
      <c r="E16" s="267"/>
      <c r="F16" s="268">
        <f t="shared" si="0"/>
        <v>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1:22" ht="30.75" thickBot="1">
      <c r="A17" s="269" t="s">
        <v>158</v>
      </c>
      <c r="B17" s="261" t="s">
        <v>264</v>
      </c>
      <c r="C17" s="269" t="s">
        <v>245</v>
      </c>
      <c r="D17" s="261" t="s">
        <v>246</v>
      </c>
      <c r="E17" s="251" t="s">
        <v>163</v>
      </c>
      <c r="F17" s="254" t="s">
        <v>316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</row>
    <row r="18" spans="1:22" ht="75.75" thickBot="1">
      <c r="A18" s="264">
        <v>8</v>
      </c>
      <c r="B18" s="270" t="s">
        <v>265</v>
      </c>
      <c r="C18" s="272" t="s">
        <v>258</v>
      </c>
      <c r="D18" s="266">
        <v>108</v>
      </c>
      <c r="E18" s="267"/>
      <c r="F18" s="268">
        <f t="shared" si="0"/>
        <v>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2" ht="30.75" thickBot="1">
      <c r="A19" s="269" t="s">
        <v>158</v>
      </c>
      <c r="B19" s="261" t="s">
        <v>266</v>
      </c>
      <c r="C19" s="269" t="s">
        <v>245</v>
      </c>
      <c r="D19" s="261" t="s">
        <v>246</v>
      </c>
      <c r="E19" s="251" t="s">
        <v>163</v>
      </c>
      <c r="F19" s="254" t="s">
        <v>316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2" ht="75.75" thickBot="1">
      <c r="A20" s="264">
        <v>9</v>
      </c>
      <c r="B20" s="270" t="s">
        <v>267</v>
      </c>
      <c r="C20" s="272" t="s">
        <v>268</v>
      </c>
      <c r="D20" s="274">
        <v>240</v>
      </c>
      <c r="E20" s="273"/>
      <c r="F20" s="268">
        <f t="shared" si="0"/>
        <v>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1:22" ht="30.75" thickBot="1">
      <c r="A21" s="269" t="s">
        <v>158</v>
      </c>
      <c r="B21" s="261" t="s">
        <v>269</v>
      </c>
      <c r="C21" s="269" t="s">
        <v>245</v>
      </c>
      <c r="D21" s="261" t="s">
        <v>246</v>
      </c>
      <c r="E21" s="251" t="s">
        <v>163</v>
      </c>
      <c r="F21" s="254" t="s">
        <v>316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</row>
    <row r="22" spans="1:22" ht="30.75" thickBot="1">
      <c r="A22" s="264">
        <v>10</v>
      </c>
      <c r="B22" s="270" t="s">
        <v>270</v>
      </c>
      <c r="C22" s="265" t="s">
        <v>268</v>
      </c>
      <c r="D22" s="261">
        <v>96</v>
      </c>
      <c r="E22" s="265"/>
      <c r="F22" s="268">
        <f t="shared" si="0"/>
        <v>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</row>
    <row r="23" spans="1:22" ht="30.75" thickBot="1">
      <c r="A23" s="269" t="s">
        <v>158</v>
      </c>
      <c r="B23" s="261" t="s">
        <v>271</v>
      </c>
      <c r="C23" s="269" t="s">
        <v>245</v>
      </c>
      <c r="D23" s="261" t="s">
        <v>246</v>
      </c>
      <c r="E23" s="251" t="s">
        <v>163</v>
      </c>
      <c r="F23" s="254" t="s">
        <v>316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2" ht="45.75" thickBot="1">
      <c r="A24" s="264">
        <v>11</v>
      </c>
      <c r="B24" s="270" t="s">
        <v>272</v>
      </c>
      <c r="C24" s="275" t="s">
        <v>273</v>
      </c>
      <c r="D24" s="251">
        <v>300</v>
      </c>
      <c r="E24" s="276"/>
      <c r="F24" s="268">
        <f t="shared" si="0"/>
        <v>0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2" ht="30.75" thickBot="1">
      <c r="A25" s="264"/>
      <c r="B25" s="251" t="s">
        <v>274</v>
      </c>
      <c r="C25" s="269" t="s">
        <v>245</v>
      </c>
      <c r="D25" s="261" t="s">
        <v>246</v>
      </c>
      <c r="E25" s="251" t="s">
        <v>163</v>
      </c>
      <c r="F25" s="254" t="s">
        <v>316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2" ht="45.75" thickBot="1">
      <c r="A26" s="264">
        <v>12</v>
      </c>
      <c r="B26" s="270" t="s">
        <v>275</v>
      </c>
      <c r="C26" s="277" t="s">
        <v>276</v>
      </c>
      <c r="D26" s="254">
        <v>24</v>
      </c>
      <c r="E26" s="278"/>
      <c r="F26" s="268">
        <f t="shared" si="0"/>
        <v>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</row>
    <row r="27" spans="1:22" ht="30.75" thickBot="1">
      <c r="A27" s="269" t="s">
        <v>158</v>
      </c>
      <c r="B27" s="261" t="s">
        <v>277</v>
      </c>
      <c r="C27" s="269" t="s">
        <v>245</v>
      </c>
      <c r="D27" s="261" t="s">
        <v>246</v>
      </c>
      <c r="E27" s="251" t="s">
        <v>163</v>
      </c>
      <c r="F27" s="254" t="s">
        <v>316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2" ht="75.75" thickBot="1">
      <c r="A28" s="264">
        <v>13</v>
      </c>
      <c r="B28" s="279" t="s">
        <v>278</v>
      </c>
      <c r="C28" s="272" t="s">
        <v>279</v>
      </c>
      <c r="D28" s="274">
        <v>48</v>
      </c>
      <c r="E28" s="272"/>
      <c r="F28" s="268">
        <f t="shared" si="0"/>
        <v>0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2" ht="30.75" thickBot="1">
      <c r="A29" s="269" t="s">
        <v>158</v>
      </c>
      <c r="B29" s="251" t="s">
        <v>280</v>
      </c>
      <c r="C29" s="269" t="s">
        <v>245</v>
      </c>
      <c r="D29" s="261" t="s">
        <v>246</v>
      </c>
      <c r="E29" s="251" t="s">
        <v>163</v>
      </c>
      <c r="F29" s="254" t="s">
        <v>316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2" ht="60.75" thickBot="1">
      <c r="A30" s="269">
        <v>14</v>
      </c>
      <c r="B30" s="279" t="s">
        <v>281</v>
      </c>
      <c r="C30" s="272" t="s">
        <v>279</v>
      </c>
      <c r="D30" s="266">
        <v>144</v>
      </c>
      <c r="E30" s="272"/>
      <c r="F30" s="268">
        <f t="shared" si="0"/>
        <v>0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1:22" ht="30.75" thickBot="1">
      <c r="A31" s="269" t="s">
        <v>158</v>
      </c>
      <c r="B31" s="261" t="s">
        <v>282</v>
      </c>
      <c r="C31" s="269" t="s">
        <v>245</v>
      </c>
      <c r="D31" s="261" t="s">
        <v>246</v>
      </c>
      <c r="E31" s="251" t="s">
        <v>163</v>
      </c>
      <c r="F31" s="254" t="s">
        <v>316</v>
      </c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</row>
    <row r="32" spans="1:22" ht="90.75" thickBot="1">
      <c r="A32" s="269">
        <v>15</v>
      </c>
      <c r="B32" s="279" t="s">
        <v>283</v>
      </c>
      <c r="C32" s="272" t="s">
        <v>284</v>
      </c>
      <c r="D32" s="274">
        <v>60</v>
      </c>
      <c r="E32" s="273"/>
      <c r="F32" s="268">
        <f t="shared" si="0"/>
        <v>0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</row>
    <row r="33" spans="1:22" ht="30.75" thickBot="1">
      <c r="A33" s="269" t="s">
        <v>158</v>
      </c>
      <c r="B33" s="261" t="s">
        <v>285</v>
      </c>
      <c r="C33" s="269" t="s">
        <v>245</v>
      </c>
      <c r="D33" s="261" t="s">
        <v>246</v>
      </c>
      <c r="E33" s="251" t="s">
        <v>163</v>
      </c>
      <c r="F33" s="254" t="s">
        <v>316</v>
      </c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ht="90.75" thickBot="1">
      <c r="A34" s="264">
        <v>16</v>
      </c>
      <c r="B34" s="279" t="s">
        <v>286</v>
      </c>
      <c r="C34" s="272" t="s">
        <v>284</v>
      </c>
      <c r="D34" s="266">
        <v>72</v>
      </c>
      <c r="E34" s="272"/>
      <c r="F34" s="268">
        <f t="shared" si="0"/>
        <v>0</v>
      </c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</row>
    <row r="35" spans="1:22" ht="30.75" thickBot="1">
      <c r="A35" s="269" t="s">
        <v>158</v>
      </c>
      <c r="B35" s="261" t="s">
        <v>287</v>
      </c>
      <c r="C35" s="269" t="s">
        <v>245</v>
      </c>
      <c r="D35" s="261" t="s">
        <v>246</v>
      </c>
      <c r="E35" s="251" t="s">
        <v>163</v>
      </c>
      <c r="F35" s="254" t="s">
        <v>316</v>
      </c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2" ht="90.75" thickBot="1">
      <c r="A36" s="264">
        <v>17</v>
      </c>
      <c r="B36" s="279" t="s">
        <v>288</v>
      </c>
      <c r="C36" s="272" t="s">
        <v>284</v>
      </c>
      <c r="D36" s="266">
        <v>36</v>
      </c>
      <c r="E36" s="272"/>
      <c r="F36" s="268">
        <f t="shared" si="0"/>
        <v>0</v>
      </c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2" ht="30.75" thickBot="1">
      <c r="A37" s="269" t="s">
        <v>158</v>
      </c>
      <c r="B37" s="261" t="s">
        <v>289</v>
      </c>
      <c r="C37" s="269" t="s">
        <v>245</v>
      </c>
      <c r="D37" s="261" t="s">
        <v>246</v>
      </c>
      <c r="E37" s="251" t="s">
        <v>163</v>
      </c>
      <c r="F37" s="254" t="s">
        <v>316</v>
      </c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2" ht="105.75" thickBot="1">
      <c r="A38" s="264">
        <v>18</v>
      </c>
      <c r="B38" s="270" t="s">
        <v>290</v>
      </c>
      <c r="C38" s="272" t="s">
        <v>258</v>
      </c>
      <c r="D38" s="266">
        <v>48</v>
      </c>
      <c r="E38" s="272"/>
      <c r="F38" s="268">
        <f t="shared" si="0"/>
        <v>0</v>
      </c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2" ht="30.75" thickBot="1">
      <c r="A39" s="269" t="s">
        <v>158</v>
      </c>
      <c r="B39" s="261" t="s">
        <v>291</v>
      </c>
      <c r="C39" s="269" t="s">
        <v>245</v>
      </c>
      <c r="D39" s="261" t="s">
        <v>246</v>
      </c>
      <c r="E39" s="251" t="s">
        <v>163</v>
      </c>
      <c r="F39" s="254" t="s">
        <v>316</v>
      </c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2" ht="60.75" thickBot="1">
      <c r="A40" s="264">
        <v>19</v>
      </c>
      <c r="B40" s="280" t="s">
        <v>292</v>
      </c>
      <c r="C40" s="272" t="s">
        <v>268</v>
      </c>
      <c r="D40" s="274">
        <v>96</v>
      </c>
      <c r="E40" s="272"/>
      <c r="F40" s="268">
        <f t="shared" si="0"/>
        <v>0</v>
      </c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2" ht="30.75" thickBot="1">
      <c r="A41" s="269" t="s">
        <v>158</v>
      </c>
      <c r="B41" s="261" t="s">
        <v>293</v>
      </c>
      <c r="C41" s="269" t="s">
        <v>245</v>
      </c>
      <c r="D41" s="261" t="s">
        <v>246</v>
      </c>
      <c r="E41" s="251" t="s">
        <v>163</v>
      </c>
      <c r="F41" s="254" t="s">
        <v>316</v>
      </c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2" ht="45.75" thickBot="1">
      <c r="A42" s="264">
        <v>20</v>
      </c>
      <c r="B42" s="280" t="s">
        <v>294</v>
      </c>
      <c r="C42" s="265" t="s">
        <v>268</v>
      </c>
      <c r="D42" s="261">
        <v>48</v>
      </c>
      <c r="E42" s="265"/>
      <c r="F42" s="268">
        <f t="shared" si="0"/>
        <v>0</v>
      </c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2" ht="30.75" thickBot="1">
      <c r="A43" s="269" t="s">
        <v>158</v>
      </c>
      <c r="B43" s="261" t="s">
        <v>295</v>
      </c>
      <c r="C43" s="269" t="s">
        <v>245</v>
      </c>
      <c r="D43" s="261" t="s">
        <v>246</v>
      </c>
      <c r="E43" s="251" t="s">
        <v>163</v>
      </c>
      <c r="F43" s="254" t="s">
        <v>316</v>
      </c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</row>
    <row r="44" spans="1:22" ht="90.75" thickBot="1">
      <c r="A44" s="264">
        <v>21</v>
      </c>
      <c r="B44" s="281" t="s">
        <v>296</v>
      </c>
      <c r="C44" s="265" t="s">
        <v>297</v>
      </c>
      <c r="D44" s="261">
        <v>24</v>
      </c>
      <c r="E44" s="265"/>
      <c r="F44" s="268">
        <f t="shared" si="0"/>
        <v>0</v>
      </c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</row>
    <row r="45" spans="1:22" ht="30.75" thickBot="1">
      <c r="A45" s="269" t="s">
        <v>158</v>
      </c>
      <c r="B45" s="261" t="s">
        <v>298</v>
      </c>
      <c r="C45" s="269" t="s">
        <v>245</v>
      </c>
      <c r="D45" s="261" t="s">
        <v>246</v>
      </c>
      <c r="E45" s="251" t="s">
        <v>163</v>
      </c>
      <c r="F45" s="254" t="s">
        <v>316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22" ht="60.75" thickBot="1">
      <c r="A46" s="264">
        <v>22</v>
      </c>
      <c r="B46" s="280" t="s">
        <v>299</v>
      </c>
      <c r="C46" s="272" t="s">
        <v>300</v>
      </c>
      <c r="D46" s="274">
        <v>96</v>
      </c>
      <c r="E46" s="272"/>
      <c r="F46" s="268">
        <f t="shared" si="0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22" ht="30.75" thickBot="1">
      <c r="A47" s="269" t="s">
        <v>158</v>
      </c>
      <c r="B47" s="261" t="s">
        <v>301</v>
      </c>
      <c r="C47" s="269" t="s">
        <v>245</v>
      </c>
      <c r="D47" s="261" t="s">
        <v>246</v>
      </c>
      <c r="E47" s="251" t="s">
        <v>163</v>
      </c>
      <c r="F47" s="254" t="s">
        <v>316</v>
      </c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2" ht="150.75" thickBot="1">
      <c r="A48" s="264">
        <v>23</v>
      </c>
      <c r="B48" s="280" t="s">
        <v>302</v>
      </c>
      <c r="C48" s="272" t="s">
        <v>303</v>
      </c>
      <c r="D48" s="266">
        <v>144</v>
      </c>
      <c r="E48" s="267"/>
      <c r="F48" s="268">
        <f t="shared" si="0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30.75" thickBot="1">
      <c r="A49" s="269" t="s">
        <v>158</v>
      </c>
      <c r="B49" s="261" t="s">
        <v>304</v>
      </c>
      <c r="C49" s="269" t="s">
        <v>245</v>
      </c>
      <c r="D49" s="261" t="s">
        <v>246</v>
      </c>
      <c r="E49" s="251" t="s">
        <v>163</v>
      </c>
      <c r="F49" s="254" t="s">
        <v>316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75.75" thickBot="1">
      <c r="A50" s="264">
        <v>24</v>
      </c>
      <c r="B50" s="280" t="s">
        <v>305</v>
      </c>
      <c r="C50" s="272" t="s">
        <v>306</v>
      </c>
      <c r="D50" s="274">
        <v>60</v>
      </c>
      <c r="E50" s="272"/>
      <c r="F50" s="268">
        <f t="shared" si="0"/>
        <v>0</v>
      </c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30.75" thickBot="1">
      <c r="A51" s="269" t="s">
        <v>158</v>
      </c>
      <c r="B51" s="261" t="s">
        <v>307</v>
      </c>
      <c r="C51" s="269" t="s">
        <v>245</v>
      </c>
      <c r="D51" s="261" t="s">
        <v>246</v>
      </c>
      <c r="E51" s="251" t="s">
        <v>163</v>
      </c>
      <c r="F51" s="254" t="s">
        <v>316</v>
      </c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</row>
    <row r="52" spans="1:22" ht="135.75" thickBot="1">
      <c r="A52" s="264">
        <v>25</v>
      </c>
      <c r="B52" s="280" t="s">
        <v>308</v>
      </c>
      <c r="C52" s="272" t="s">
        <v>309</v>
      </c>
      <c r="D52" s="274">
        <v>60</v>
      </c>
      <c r="E52" s="272"/>
      <c r="F52" s="268">
        <f t="shared" si="0"/>
        <v>0</v>
      </c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</row>
    <row r="53" spans="1:22" ht="30.75" thickBot="1">
      <c r="A53" s="269" t="s">
        <v>158</v>
      </c>
      <c r="B53" s="261" t="s">
        <v>310</v>
      </c>
      <c r="C53" s="269" t="s">
        <v>245</v>
      </c>
      <c r="D53" s="261" t="s">
        <v>246</v>
      </c>
      <c r="E53" s="251" t="s">
        <v>163</v>
      </c>
      <c r="F53" s="254" t="s">
        <v>316</v>
      </c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ht="90.75" thickBot="1">
      <c r="A54" s="264">
        <v>26</v>
      </c>
      <c r="B54" s="280" t="s">
        <v>311</v>
      </c>
      <c r="C54" s="272" t="s">
        <v>273</v>
      </c>
      <c r="D54" s="274">
        <v>96</v>
      </c>
      <c r="E54" s="272"/>
      <c r="F54" s="268">
        <f t="shared" si="0"/>
        <v>0</v>
      </c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ht="30.75" thickBot="1">
      <c r="A55" s="269" t="s">
        <v>158</v>
      </c>
      <c r="B55" s="261" t="s">
        <v>312</v>
      </c>
      <c r="C55" s="269" t="s">
        <v>245</v>
      </c>
      <c r="D55" s="261" t="s">
        <v>246</v>
      </c>
      <c r="E55" s="251" t="s">
        <v>163</v>
      </c>
      <c r="F55" s="254" t="s">
        <v>316</v>
      </c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6" spans="1:22" ht="90.75" thickBot="1">
      <c r="A56" s="264">
        <v>27</v>
      </c>
      <c r="B56" s="280" t="s">
        <v>313</v>
      </c>
      <c r="C56" s="272" t="s">
        <v>253</v>
      </c>
      <c r="D56" s="274">
        <v>96</v>
      </c>
      <c r="E56" s="272"/>
      <c r="F56" s="268">
        <f t="shared" si="0"/>
        <v>0</v>
      </c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ht="30.75" thickBot="1">
      <c r="A57" s="269" t="s">
        <v>158</v>
      </c>
      <c r="B57" s="261" t="s">
        <v>314</v>
      </c>
      <c r="C57" s="269" t="s">
        <v>245</v>
      </c>
      <c r="D57" s="261" t="s">
        <v>246</v>
      </c>
      <c r="E57" s="251" t="s">
        <v>163</v>
      </c>
      <c r="F57" s="254" t="s">
        <v>316</v>
      </c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ht="90.75" thickBot="1">
      <c r="A58" s="264">
        <v>28</v>
      </c>
      <c r="B58" s="280" t="s">
        <v>315</v>
      </c>
      <c r="C58" s="272" t="s">
        <v>253</v>
      </c>
      <c r="D58" s="266">
        <v>144</v>
      </c>
      <c r="E58" s="272"/>
      <c r="F58" s="268">
        <f t="shared" si="0"/>
        <v>0</v>
      </c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ht="15.75" thickBot="1">
      <c r="A59" s="248"/>
      <c r="B59" s="248"/>
      <c r="C59" s="248"/>
      <c r="D59" s="248"/>
      <c r="E59" s="248"/>
      <c r="F59" s="249">
        <f>SUM(F4:F58)</f>
        <v>0</v>
      </c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</row>
    <row r="61" spans="1:22" ht="15" thickBo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</row>
    <row r="62" spans="1:22" ht="15.75" thickBot="1">
      <c r="A62" s="257" t="s">
        <v>351</v>
      </c>
      <c r="B62" s="258"/>
      <c r="C62" s="258"/>
      <c r="D62" s="258"/>
      <c r="E62" s="258"/>
      <c r="F62" s="259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</row>
    <row r="63" spans="1:22" ht="30.75" thickBot="1">
      <c r="A63" s="282" t="s">
        <v>158</v>
      </c>
      <c r="B63" s="269" t="s">
        <v>317</v>
      </c>
      <c r="C63" s="283" t="s">
        <v>245</v>
      </c>
      <c r="D63" s="263" t="s">
        <v>246</v>
      </c>
      <c r="E63" s="251" t="s">
        <v>163</v>
      </c>
      <c r="F63" s="254" t="s">
        <v>316</v>
      </c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</row>
    <row r="64" spans="1:22" ht="195.75" thickBot="1">
      <c r="A64" s="284">
        <v>1</v>
      </c>
      <c r="B64" s="253" t="s">
        <v>348</v>
      </c>
      <c r="C64" s="265" t="s">
        <v>318</v>
      </c>
      <c r="D64" s="265">
        <v>3</v>
      </c>
      <c r="E64" s="267"/>
      <c r="F64" s="268">
        <f>SUM(D64*E64)</f>
        <v>0</v>
      </c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</row>
    <row r="65" spans="1:22" ht="30.75" thickBot="1">
      <c r="A65" s="285" t="s">
        <v>158</v>
      </c>
      <c r="B65" s="261" t="s">
        <v>319</v>
      </c>
      <c r="C65" s="269" t="s">
        <v>245</v>
      </c>
      <c r="D65" s="263" t="s">
        <v>246</v>
      </c>
      <c r="E65" s="251" t="s">
        <v>163</v>
      </c>
      <c r="F65" s="254" t="s">
        <v>316</v>
      </c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</row>
    <row r="66" spans="1:22" ht="180.75" thickBot="1">
      <c r="A66" s="284">
        <v>2</v>
      </c>
      <c r="B66" s="253" t="s">
        <v>349</v>
      </c>
      <c r="C66" s="275" t="s">
        <v>268</v>
      </c>
      <c r="D66" s="265">
        <v>14</v>
      </c>
      <c r="E66" s="267"/>
      <c r="F66" s="268">
        <f>SUM(D66*E66)</f>
        <v>0</v>
      </c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ht="30.75" thickBot="1">
      <c r="A67" s="285" t="s">
        <v>158</v>
      </c>
      <c r="B67" s="261" t="s">
        <v>320</v>
      </c>
      <c r="C67" s="269" t="s">
        <v>245</v>
      </c>
      <c r="D67" s="263" t="s">
        <v>246</v>
      </c>
      <c r="E67" s="251" t="s">
        <v>163</v>
      </c>
      <c r="F67" s="254" t="s">
        <v>316</v>
      </c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ht="120.75" thickBot="1">
      <c r="A68" s="284">
        <v>3</v>
      </c>
      <c r="B68" s="270" t="s">
        <v>321</v>
      </c>
      <c r="C68" s="265" t="s">
        <v>268</v>
      </c>
      <c r="D68" s="265">
        <v>9</v>
      </c>
      <c r="E68" s="267"/>
      <c r="F68" s="268">
        <f>SUM(D68*E68)</f>
        <v>0</v>
      </c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ht="30.75" thickBot="1">
      <c r="A69" s="285" t="s">
        <v>158</v>
      </c>
      <c r="B69" s="261" t="s">
        <v>322</v>
      </c>
      <c r="C69" s="269" t="s">
        <v>245</v>
      </c>
      <c r="D69" s="263" t="s">
        <v>246</v>
      </c>
      <c r="E69" s="251" t="s">
        <v>163</v>
      </c>
      <c r="F69" s="254" t="s">
        <v>316</v>
      </c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ht="57.75" thickBot="1">
      <c r="A70" s="284">
        <v>4</v>
      </c>
      <c r="B70" s="286" t="s">
        <v>323</v>
      </c>
      <c r="C70" s="265" t="s">
        <v>268</v>
      </c>
      <c r="D70" s="265">
        <v>12</v>
      </c>
      <c r="E70" s="267"/>
      <c r="F70" s="268">
        <f>SUM(D70*E70)</f>
        <v>0</v>
      </c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ht="30.75" thickBot="1">
      <c r="A71" s="285" t="s">
        <v>158</v>
      </c>
      <c r="B71" s="261" t="s">
        <v>324</v>
      </c>
      <c r="C71" s="269" t="s">
        <v>245</v>
      </c>
      <c r="D71" s="263" t="s">
        <v>246</v>
      </c>
      <c r="E71" s="251" t="s">
        <v>163</v>
      </c>
      <c r="F71" s="254" t="s">
        <v>316</v>
      </c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ht="157.5" thickBot="1">
      <c r="A72" s="284">
        <v>5</v>
      </c>
      <c r="B72" s="286" t="s">
        <v>325</v>
      </c>
      <c r="C72" s="265" t="s">
        <v>268</v>
      </c>
      <c r="D72" s="265">
        <v>20</v>
      </c>
      <c r="E72" s="267"/>
      <c r="F72" s="268">
        <f>SUM(D72*E72)</f>
        <v>0</v>
      </c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ht="30.75" thickBot="1">
      <c r="A73" s="285" t="s">
        <v>158</v>
      </c>
      <c r="B73" s="261" t="s">
        <v>326</v>
      </c>
      <c r="C73" s="269" t="s">
        <v>245</v>
      </c>
      <c r="D73" s="263" t="s">
        <v>246</v>
      </c>
      <c r="E73" s="251" t="s">
        <v>163</v>
      </c>
      <c r="F73" s="254" t="s">
        <v>316</v>
      </c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ht="86.25" thickBot="1">
      <c r="A74" s="284">
        <v>6</v>
      </c>
      <c r="B74" s="286" t="s">
        <v>350</v>
      </c>
      <c r="C74" s="265" t="s">
        <v>268</v>
      </c>
      <c r="D74" s="265">
        <v>8</v>
      </c>
      <c r="E74" s="267"/>
      <c r="F74" s="268">
        <f>SUM(D74*E74)</f>
        <v>0</v>
      </c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ht="30.75" thickBot="1">
      <c r="A75" s="285" t="s">
        <v>158</v>
      </c>
      <c r="B75" s="251" t="s">
        <v>327</v>
      </c>
      <c r="C75" s="287" t="s">
        <v>245</v>
      </c>
      <c r="D75" s="263" t="s">
        <v>246</v>
      </c>
      <c r="E75" s="251" t="s">
        <v>163</v>
      </c>
      <c r="F75" s="254" t="s">
        <v>316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ht="172.5" thickBot="1">
      <c r="A76" s="284">
        <v>7</v>
      </c>
      <c r="B76" s="286" t="s">
        <v>328</v>
      </c>
      <c r="C76" s="275" t="s">
        <v>268</v>
      </c>
      <c r="D76" s="275">
        <v>12</v>
      </c>
      <c r="E76" s="267"/>
      <c r="F76" s="268">
        <f>SUM(D76*E76)</f>
        <v>0</v>
      </c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ht="30.75" thickBot="1">
      <c r="A77" s="285" t="s">
        <v>158</v>
      </c>
      <c r="B77" s="261" t="s">
        <v>329</v>
      </c>
      <c r="C77" s="269" t="s">
        <v>245</v>
      </c>
      <c r="D77" s="263" t="s">
        <v>246</v>
      </c>
      <c r="E77" s="251" t="s">
        <v>163</v>
      </c>
      <c r="F77" s="254" t="s">
        <v>316</v>
      </c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ht="86.25" thickBot="1">
      <c r="A78" s="284">
        <v>8</v>
      </c>
      <c r="B78" s="286" t="s">
        <v>330</v>
      </c>
      <c r="C78" s="265" t="s">
        <v>268</v>
      </c>
      <c r="D78" s="265">
        <v>3</v>
      </c>
      <c r="E78" s="267"/>
      <c r="F78" s="268">
        <f>SUM(D78*E78)</f>
        <v>0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ht="30.75" thickBot="1">
      <c r="A79" s="285" t="s">
        <v>158</v>
      </c>
      <c r="B79" s="261" t="s">
        <v>331</v>
      </c>
      <c r="C79" s="269" t="s">
        <v>245</v>
      </c>
      <c r="D79" s="263" t="s">
        <v>246</v>
      </c>
      <c r="E79" s="251" t="s">
        <v>163</v>
      </c>
      <c r="F79" s="254" t="s">
        <v>316</v>
      </c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ht="200.25" thickBot="1">
      <c r="A80" s="284">
        <v>9</v>
      </c>
      <c r="B80" s="286" t="s">
        <v>332</v>
      </c>
      <c r="C80" s="265" t="s">
        <v>268</v>
      </c>
      <c r="D80" s="265">
        <v>4</v>
      </c>
      <c r="E80" s="267"/>
      <c r="F80" s="268">
        <f>SUM(D80*E80)</f>
        <v>0</v>
      </c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ht="30.75" thickBot="1">
      <c r="A81" s="285" t="s">
        <v>158</v>
      </c>
      <c r="B81" s="261" t="s">
        <v>333</v>
      </c>
      <c r="C81" s="269" t="s">
        <v>245</v>
      </c>
      <c r="D81" s="263" t="s">
        <v>246</v>
      </c>
      <c r="E81" s="251" t="s">
        <v>163</v>
      </c>
      <c r="F81" s="254" t="s">
        <v>316</v>
      </c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ht="72" thickBot="1">
      <c r="A82" s="284">
        <v>10</v>
      </c>
      <c r="B82" s="286" t="s">
        <v>334</v>
      </c>
      <c r="C82" s="265" t="s">
        <v>268</v>
      </c>
      <c r="D82" s="265">
        <v>12</v>
      </c>
      <c r="E82" s="267"/>
      <c r="F82" s="268">
        <f>SUM(D82*E82)</f>
        <v>0</v>
      </c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ht="30.75" thickBot="1">
      <c r="A83" s="285" t="s">
        <v>158</v>
      </c>
      <c r="B83" s="261" t="s">
        <v>335</v>
      </c>
      <c r="C83" s="269" t="s">
        <v>245</v>
      </c>
      <c r="D83" s="263" t="s">
        <v>246</v>
      </c>
      <c r="E83" s="251" t="s">
        <v>163</v>
      </c>
      <c r="F83" s="254" t="s">
        <v>316</v>
      </c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ht="100.5" thickBot="1">
      <c r="A84" s="284">
        <v>11</v>
      </c>
      <c r="B84" s="286" t="s">
        <v>336</v>
      </c>
      <c r="C84" s="275" t="s">
        <v>268</v>
      </c>
      <c r="D84" s="275">
        <v>6</v>
      </c>
      <c r="E84" s="267"/>
      <c r="F84" s="268">
        <f>SUM(D84*E84)</f>
        <v>0</v>
      </c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ht="30.75" thickBot="1">
      <c r="A85" s="285" t="s">
        <v>158</v>
      </c>
      <c r="B85" s="261" t="s">
        <v>337</v>
      </c>
      <c r="C85" s="269" t="s">
        <v>245</v>
      </c>
      <c r="D85" s="263" t="s">
        <v>246</v>
      </c>
      <c r="E85" s="251" t="s">
        <v>163</v>
      </c>
      <c r="F85" s="254" t="s">
        <v>316</v>
      </c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ht="143.25" thickBot="1">
      <c r="A86" s="284">
        <v>12</v>
      </c>
      <c r="B86" s="286" t="s">
        <v>338</v>
      </c>
      <c r="C86" s="265" t="s">
        <v>268</v>
      </c>
      <c r="D86" s="265">
        <v>48</v>
      </c>
      <c r="E86" s="267"/>
      <c r="F86" s="268">
        <f>SUM(D86*E86)</f>
        <v>0</v>
      </c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ht="30.75" thickBot="1">
      <c r="A87" s="285" t="s">
        <v>158</v>
      </c>
      <c r="B87" s="261" t="s">
        <v>339</v>
      </c>
      <c r="C87" s="269" t="s">
        <v>245</v>
      </c>
      <c r="D87" s="263" t="s">
        <v>246</v>
      </c>
      <c r="E87" s="251" t="s">
        <v>163</v>
      </c>
      <c r="F87" s="254" t="s">
        <v>316</v>
      </c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ht="57.75" thickBot="1">
      <c r="A88" s="284">
        <v>13</v>
      </c>
      <c r="B88" s="286" t="s">
        <v>340</v>
      </c>
      <c r="C88" s="265" t="s">
        <v>268</v>
      </c>
      <c r="D88" s="265">
        <v>24</v>
      </c>
      <c r="E88" s="267"/>
      <c r="F88" s="268">
        <f>SUM(D88*E88)</f>
        <v>0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ht="30.75" thickBot="1">
      <c r="A89" s="285" t="s">
        <v>158</v>
      </c>
      <c r="B89" s="261" t="s">
        <v>341</v>
      </c>
      <c r="C89" s="269" t="s">
        <v>245</v>
      </c>
      <c r="D89" s="263" t="s">
        <v>246</v>
      </c>
      <c r="E89" s="251" t="s">
        <v>163</v>
      </c>
      <c r="F89" s="254" t="s">
        <v>316</v>
      </c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ht="60.75" thickBot="1">
      <c r="A90" s="284">
        <v>14</v>
      </c>
      <c r="B90" s="270" t="s">
        <v>342</v>
      </c>
      <c r="C90" s="265" t="s">
        <v>268</v>
      </c>
      <c r="D90" s="275">
        <v>12</v>
      </c>
      <c r="E90" s="267"/>
      <c r="F90" s="268">
        <f>SUM(D90*E90)</f>
        <v>0</v>
      </c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ht="30.75" thickBot="1">
      <c r="A91" s="285" t="s">
        <v>158</v>
      </c>
      <c r="B91" s="261" t="s">
        <v>343</v>
      </c>
      <c r="C91" s="269" t="s">
        <v>245</v>
      </c>
      <c r="D91" s="263" t="s">
        <v>246</v>
      </c>
      <c r="E91" s="251" t="s">
        <v>163</v>
      </c>
      <c r="F91" s="254" t="s">
        <v>316</v>
      </c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ht="45.75" thickBot="1">
      <c r="A92" s="284">
        <v>15</v>
      </c>
      <c r="B92" s="279" t="s">
        <v>344</v>
      </c>
      <c r="C92" s="265" t="s">
        <v>345</v>
      </c>
      <c r="D92" s="265">
        <v>12</v>
      </c>
      <c r="E92" s="267"/>
      <c r="F92" s="268">
        <f>SUM(D92*E92)</f>
        <v>0</v>
      </c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ht="30.75" thickBot="1">
      <c r="A93" s="285" t="s">
        <v>158</v>
      </c>
      <c r="B93" s="269" t="s">
        <v>346</v>
      </c>
      <c r="C93" s="269" t="s">
        <v>245</v>
      </c>
      <c r="D93" s="263" t="s">
        <v>246</v>
      </c>
      <c r="E93" s="251" t="s">
        <v>163</v>
      </c>
      <c r="F93" s="254" t="s">
        <v>316</v>
      </c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2" ht="75.75" thickBot="1">
      <c r="A94" s="284">
        <v>16</v>
      </c>
      <c r="B94" s="270" t="s">
        <v>347</v>
      </c>
      <c r="C94" s="265" t="s">
        <v>345</v>
      </c>
      <c r="D94" s="265">
        <v>12</v>
      </c>
      <c r="E94" s="267"/>
      <c r="F94" s="268">
        <f>SUM(D94*E94)</f>
        <v>0</v>
      </c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ht="15.75" thickBot="1">
      <c r="A95" s="252"/>
      <c r="B95" s="288"/>
      <c r="C95" s="288"/>
      <c r="D95" s="288"/>
      <c r="E95" s="289"/>
      <c r="F95" s="249">
        <f>SUM(F42:F94)</f>
        <v>0</v>
      </c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2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</row>
    <row r="112" spans="1:22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</row>
    <row r="114" spans="1:22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</row>
    <row r="118" spans="1:22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</row>
    <row r="121" spans="1:22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</row>
    <row r="122" spans="1:22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</row>
    <row r="123" spans="1:22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</row>
    <row r="124" spans="1:22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</row>
    <row r="125" spans="1:22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</row>
    <row r="126" spans="1:22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</row>
    <row r="129" spans="1:22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</row>
    <row r="130" spans="1:22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</row>
    <row r="131" spans="1:22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</row>
    <row r="132" spans="1:22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</row>
    <row r="133" spans="1:22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</row>
    <row r="134" spans="1:22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</row>
    <row r="135" spans="1:22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</row>
    <row r="136" spans="1:22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</row>
    <row r="137" spans="1:22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</row>
    <row r="138" spans="1:22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</row>
    <row r="139" spans="1:22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</row>
    <row r="140" spans="1:22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</row>
    <row r="141" spans="1:22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</row>
    <row r="142" spans="1:22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</row>
    <row r="143" spans="1:22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</row>
    <row r="144" spans="1:22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</row>
    <row r="145" spans="1:22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</row>
    <row r="146" spans="1:22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</row>
    <row r="147" spans="1:22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</row>
    <row r="148" spans="1:22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</row>
    <row r="149" spans="1:22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</row>
    <row r="150" spans="1:22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</row>
    <row r="151" spans="1:22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</row>
    <row r="152" spans="1:22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</row>
    <row r="153" spans="1:22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</row>
    <row r="156" spans="1:22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</row>
    <row r="157" spans="1:22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</row>
    <row r="158" spans="1:22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</row>
    <row r="159" spans="1:22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</row>
    <row r="161" spans="1:22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</row>
    <row r="162" spans="1:22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</row>
    <row r="163" spans="1:22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</row>
    <row r="164" spans="1:22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</row>
    <row r="165" spans="1:22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2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</row>
    <row r="167" spans="1:22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</row>
    <row r="168" spans="1:22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</row>
    <row r="169" spans="1:22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</row>
    <row r="170" spans="1:22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</row>
    <row r="171" spans="1:2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</row>
    <row r="172" spans="1:22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</row>
    <row r="173" spans="1:22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</row>
    <row r="174" spans="1:22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</row>
    <row r="175" spans="1:22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</row>
    <row r="176" spans="1:22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</row>
    <row r="177" spans="1:22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</row>
    <row r="178" spans="1:22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</row>
    <row r="179" spans="1:22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</row>
    <row r="180" spans="1:22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</row>
    <row r="181" spans="1:22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</row>
    <row r="182" spans="1:22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</row>
    <row r="183" spans="1:22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</row>
    <row r="184" spans="1:22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</row>
    <row r="185" spans="1:22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</row>
    <row r="187" spans="1:22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</row>
    <row r="188" spans="1:22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</row>
    <row r="189" spans="1:22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</row>
    <row r="190" spans="1:22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</row>
    <row r="191" spans="1:22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</row>
    <row r="192" spans="1:22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</row>
    <row r="193" spans="1:22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</row>
    <row r="194" spans="1:22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</row>
    <row r="195" spans="1:22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</row>
    <row r="196" spans="1:22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</row>
    <row r="197" spans="1:22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</row>
    <row r="198" spans="1:22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</row>
    <row r="199" spans="1:22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</row>
    <row r="200" spans="1:22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</row>
    <row r="201" spans="1:22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</row>
    <row r="202" spans="1:22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</row>
    <row r="203" spans="1:22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</row>
    <row r="204" spans="1:22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</row>
    <row r="205" spans="1:22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</row>
    <row r="206" spans="1:22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</row>
    <row r="207" spans="1:22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</row>
    <row r="208" spans="1:22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</row>
    <row r="209" spans="1:22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</row>
    <row r="210" spans="1:22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</row>
    <row r="211" spans="1:22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</row>
    <row r="212" spans="1:22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</row>
    <row r="213" spans="1:22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</row>
    <row r="214" spans="1:22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</row>
    <row r="215" spans="1:22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</row>
    <row r="216" spans="1:22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</row>
    <row r="217" spans="1:22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</row>
    <row r="218" spans="1:22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</row>
    <row r="219" spans="1:22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</row>
    <row r="220" spans="1:22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</row>
    <row r="221" spans="1:22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</row>
    <row r="222" spans="1:22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</row>
    <row r="223" spans="1:22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</row>
    <row r="224" spans="1:22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</row>
    <row r="225" spans="1:22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</row>
    <row r="226" spans="1:22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</row>
    <row r="227" spans="1:22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</row>
    <row r="228" spans="1:22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</row>
    <row r="229" spans="1:22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</row>
    <row r="230" spans="1:22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</row>
    <row r="231" spans="1:22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</row>
    <row r="232" spans="1:22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</row>
    <row r="233" spans="1:22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</row>
    <row r="234" spans="1:22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</row>
    <row r="235" spans="1:22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</row>
    <row r="236" spans="1:22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</row>
    <row r="237" spans="1:22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</row>
    <row r="238" spans="1:22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</row>
    <row r="239" spans="1:22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</row>
    <row r="240" spans="1:22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</row>
    <row r="241" spans="1:22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</row>
    <row r="242" spans="1:22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</row>
    <row r="243" spans="1:22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</row>
    <row r="244" spans="1:22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</row>
    <row r="245" spans="1:22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</row>
    <row r="246" spans="1:22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</row>
    <row r="247" spans="1:22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</row>
    <row r="248" spans="1:22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</row>
    <row r="249" spans="1:22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</row>
    <row r="250" spans="1:22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</row>
    <row r="251" spans="1:22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</row>
    <row r="252" spans="1:22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</row>
    <row r="253" spans="1:22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</row>
    <row r="254" spans="1:22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</row>
    <row r="255" spans="1:22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</row>
    <row r="256" spans="1:22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</row>
    <row r="257" spans="1:22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</row>
    <row r="258" spans="1:22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</row>
    <row r="259" spans="1:22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</row>
    <row r="260" spans="1:22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</row>
    <row r="261" spans="1:22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</row>
    <row r="262" spans="1:22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</row>
    <row r="263" spans="1:22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</row>
    <row r="264" spans="1:22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</row>
    <row r="265" spans="1:22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</row>
    <row r="266" spans="1:22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</row>
    <row r="267" spans="1:22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</row>
    <row r="268" spans="1:22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</row>
    <row r="269" spans="1:22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</row>
    <row r="270" spans="1:22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</row>
    <row r="271" spans="1:22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</row>
    <row r="272" spans="1:22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</row>
    <row r="273" spans="1:22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</row>
    <row r="274" spans="1:22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</row>
    <row r="275" spans="1:22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</row>
    <row r="276" spans="1:22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</row>
    <row r="277" spans="1:22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</row>
    <row r="278" spans="1:22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</row>
    <row r="279" spans="1:22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</row>
    <row r="280" spans="1:22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</row>
    <row r="281" spans="1:22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</row>
    <row r="282" spans="1:22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</row>
    <row r="283" spans="1:22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</row>
    <row r="284" spans="1:22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</row>
    <row r="285" spans="1:22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</row>
    <row r="286" spans="1:22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</row>
    <row r="287" spans="1:22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</row>
    <row r="288" spans="1:22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</row>
    <row r="289" spans="1:22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</row>
    <row r="290" spans="1:22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</row>
    <row r="291" spans="1:22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</row>
    <row r="292" spans="1:22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</row>
    <row r="293" spans="1:22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</row>
    <row r="294" spans="1:22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</row>
    <row r="295" spans="1:22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</row>
    <row r="296" spans="1:22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</row>
    <row r="297" spans="1:22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</row>
    <row r="298" spans="1:22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</row>
    <row r="299" spans="1:22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</row>
    <row r="300" spans="1:22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</row>
    <row r="301" spans="1:22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</row>
    <row r="302" spans="1:22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</row>
    <row r="303" spans="1:22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</row>
    <row r="304" spans="1:22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</row>
    <row r="305" spans="1:22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</row>
    <row r="306" spans="1:22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</row>
    <row r="307" spans="1:22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</row>
    <row r="308" spans="1:22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</row>
    <row r="309" spans="1:22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</row>
    <row r="310" spans="1:22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</row>
    <row r="311" spans="1:22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</row>
    <row r="312" spans="1:22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</row>
    <row r="313" spans="1:22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</row>
    <row r="314" spans="1:22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</row>
    <row r="315" spans="1:22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</row>
    <row r="316" spans="1:22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</row>
    <row r="317" spans="1:22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</row>
    <row r="318" spans="1:22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</row>
    <row r="319" spans="1:22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</row>
    <row r="320" spans="1:22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</row>
    <row r="321" spans="1:22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</row>
    <row r="322" spans="1:22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</row>
    <row r="323" spans="1:22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</row>
    <row r="324" spans="1:22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</row>
    <row r="325" spans="1:22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</row>
    <row r="326" spans="1:22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</row>
    <row r="327" spans="1:22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</row>
    <row r="328" spans="1:22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</row>
    <row r="329" spans="1:22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</row>
    <row r="330" spans="1:22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</row>
    <row r="331" spans="1:22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</row>
    <row r="332" spans="1:22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</row>
    <row r="333" spans="1:22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</row>
    <row r="334" spans="1:22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</row>
    <row r="335" spans="1:22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</row>
    <row r="336" spans="1:22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</row>
    <row r="337" spans="1:14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</row>
    <row r="338" spans="1:14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</row>
    <row r="339" spans="1:14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</row>
    <row r="340" spans="1:14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</row>
    <row r="341" spans="1:14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</row>
    <row r="342" spans="1:14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</row>
    <row r="343" spans="1:14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</row>
    <row r="344" spans="1:14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</row>
    <row r="345" spans="1:14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</row>
    <row r="346" spans="1:14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</row>
    <row r="347" spans="1:14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</row>
    <row r="348" spans="1:14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</row>
    <row r="349" spans="1:14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</row>
    <row r="350" spans="1:14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</row>
    <row r="351" spans="1:14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</row>
    <row r="352" spans="1:14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</row>
    <row r="353" spans="1:14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</row>
    <row r="354" spans="1:14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</row>
    <row r="355" spans="1:14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</row>
    <row r="356" spans="1:14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</row>
    <row r="357" spans="1:14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</row>
    <row r="358" spans="1:14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</row>
    <row r="359" spans="1:14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</row>
    <row r="360" spans="1:14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</row>
    <row r="361" spans="1:14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</row>
    <row r="362" spans="1:14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</row>
    <row r="363" spans="1:14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</row>
    <row r="364" spans="1:14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</row>
    <row r="365" spans="1:14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</row>
    <row r="366" spans="1:14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</row>
    <row r="367" spans="1:14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</row>
    <row r="368" spans="1:14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</row>
    <row r="369" spans="1:14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</row>
    <row r="370" spans="1:14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</row>
    <row r="371" spans="1:14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</row>
    <row r="372" spans="1:14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</row>
    <row r="373" spans="1:14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</row>
    <row r="374" spans="1:14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</row>
    <row r="375" spans="1:14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</row>
    <row r="376" spans="1:14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</row>
    <row r="377" spans="1:14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</row>
    <row r="378" spans="1:14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</row>
    <row r="379" spans="1:14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</row>
    <row r="380" spans="1:14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</row>
    <row r="381" spans="1:14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</row>
    <row r="382" spans="1:14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</row>
    <row r="383" spans="1:14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</row>
    <row r="384" spans="1:14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</row>
    <row r="385" spans="1:14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</row>
    <row r="386" spans="1:14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</row>
    <row r="387" spans="1:14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</row>
    <row r="388" spans="1:14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</row>
    <row r="389" spans="1:14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</row>
    <row r="390" spans="1:14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</row>
    <row r="391" spans="1:14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</row>
    <row r="392" spans="1:14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</row>
    <row r="393" spans="1:14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</row>
    <row r="394" spans="1:14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</row>
    <row r="395" spans="1:14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</row>
    <row r="396" spans="1:14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</row>
    <row r="397" spans="1:14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</row>
    <row r="398" spans="1:14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</row>
    <row r="399" spans="1:14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</row>
    <row r="400" spans="1:14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</row>
    <row r="401" spans="1:14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</row>
    <row r="402" spans="1:14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</row>
    <row r="403" spans="1:14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</row>
    <row r="404" spans="1:14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</row>
    <row r="405" spans="1:14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</row>
    <row r="406" spans="1:14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</row>
    <row r="407" spans="1:14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</row>
    <row r="408" spans="1:14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</row>
    <row r="409" spans="1:14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</row>
    <row r="410" spans="1:14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</row>
    <row r="411" spans="1:14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</row>
    <row r="412" spans="1:14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</row>
    <row r="413" spans="1:14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</row>
    <row r="414" spans="1:14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</row>
    <row r="415" spans="1:14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</row>
    <row r="416" spans="1:14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</row>
    <row r="417" spans="1:14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</row>
    <row r="418" spans="1:14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</row>
    <row r="419" spans="1:14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</row>
    <row r="420" spans="1:14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</row>
    <row r="421" spans="1:14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</row>
    <row r="422" spans="1:14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</row>
    <row r="423" spans="1:14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</row>
    <row r="424" spans="1:14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</row>
    <row r="425" spans="1:14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</row>
    <row r="426" spans="1:14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</row>
    <row r="427" spans="1:14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</row>
    <row r="428" spans="1:14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</row>
    <row r="429" spans="1:14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</row>
    <row r="430" spans="1:14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</row>
    <row r="431" spans="1:14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</row>
    <row r="432" spans="1:14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</row>
    <row r="433" spans="1:14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</row>
    <row r="434" spans="1:14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</row>
    <row r="435" spans="1:14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</row>
    <row r="436" spans="1:14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</row>
    <row r="437" spans="1:14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</row>
    <row r="438" spans="1:14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</row>
    <row r="439" spans="1:14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</row>
    <row r="440" spans="1:14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</row>
    <row r="441" spans="1:14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</row>
    <row r="442" spans="1:14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</row>
    <row r="443" spans="1:14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</row>
    <row r="444" spans="1:14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</row>
    <row r="445" spans="1:14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</row>
    <row r="446" spans="1:14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</row>
    <row r="447" spans="1:14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</row>
    <row r="448" spans="1:14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</row>
    <row r="449" spans="1:14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</row>
    <row r="450" spans="1:14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</row>
    <row r="451" spans="1:14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</row>
    <row r="452" spans="1:14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</row>
    <row r="453" spans="1:14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</row>
    <row r="454" spans="1:14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</row>
    <row r="455" spans="1:14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</row>
    <row r="456" spans="1:14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</row>
    <row r="457" spans="1:14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</row>
    <row r="458" spans="1:14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</row>
    <row r="459" spans="1:14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</row>
    <row r="460" spans="1:14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</row>
    <row r="461" spans="1:14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</row>
    <row r="462" spans="1:14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</row>
    <row r="463" spans="1:14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</row>
    <row r="464" spans="1:14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</row>
    <row r="465" spans="1:14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</row>
    <row r="466" spans="1:14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</row>
    <row r="467" spans="1:14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</row>
    <row r="468" spans="1:14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</row>
    <row r="469" spans="1:14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</row>
    <row r="470" spans="1:14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</row>
    <row r="471" spans="1:14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</row>
    <row r="472" spans="1:14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</row>
    <row r="473" spans="1:14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</row>
    <row r="474" spans="1:14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</row>
    <row r="475" spans="1:14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</row>
    <row r="476" spans="1:14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</row>
    <row r="477" spans="1:14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</row>
    <row r="478" spans="1:14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</row>
    <row r="479" spans="1:14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</row>
    <row r="480" spans="1:14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</row>
    <row r="481" spans="1:14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</row>
    <row r="482" spans="1:14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</row>
    <row r="483" spans="1:14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</row>
    <row r="484" spans="1:14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</row>
    <row r="485" spans="1:14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</row>
    <row r="486" spans="1:14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</row>
    <row r="487" spans="1:14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</row>
    <row r="488" spans="1:14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</row>
    <row r="489" spans="1:14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</row>
    <row r="490" spans="1:14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</row>
    <row r="491" spans="1:14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</row>
    <row r="492" spans="1:14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</row>
    <row r="493" spans="1:14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</row>
    <row r="494" spans="1:14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</row>
    <row r="495" spans="1:14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</row>
    <row r="496" spans="1:14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</row>
    <row r="497" spans="1:14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</row>
    <row r="498" spans="1:14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</row>
    <row r="499" spans="1:14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</row>
    <row r="500" spans="1:14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</row>
    <row r="501" spans="1:14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</row>
    <row r="502" spans="1:14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</row>
    <row r="503" spans="1:14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</row>
    <row r="504" spans="1:14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</row>
    <row r="505" spans="1:14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</row>
    <row r="506" spans="1:14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</row>
    <row r="507" spans="1:14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</row>
    <row r="508" spans="1:14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</row>
    <row r="509" spans="1:14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</row>
    <row r="510" spans="1:14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</row>
    <row r="511" spans="1:14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</row>
    <row r="512" spans="1:14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</row>
    <row r="513" spans="1:14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</row>
    <row r="514" spans="1:14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</row>
    <row r="515" spans="1:14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</row>
    <row r="516" spans="1:14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</row>
    <row r="517" spans="1:14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</row>
    <row r="518" spans="1:14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</row>
    <row r="519" spans="1:14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</row>
    <row r="520" spans="1:14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</row>
    <row r="521" spans="1:14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</row>
    <row r="522" spans="1:14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</row>
    <row r="523" spans="1:14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</row>
    <row r="524" spans="1:14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</row>
    <row r="525" spans="1:14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</row>
    <row r="526" spans="1:14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</row>
    <row r="527" spans="1:14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</row>
    <row r="528" spans="1:14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</row>
    <row r="529" spans="1:14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</row>
    <row r="530" spans="1:14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</row>
    <row r="531" spans="1:14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</row>
    <row r="532" spans="1:14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</row>
    <row r="533" spans="1:14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</row>
    <row r="534" spans="1:14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</row>
    <row r="535" spans="1:14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</row>
    <row r="536" spans="1:14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</row>
    <row r="537" spans="1:14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</row>
    <row r="538" spans="1:14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</row>
    <row r="539" spans="1:14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</row>
    <row r="540" spans="1:14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</row>
    <row r="541" spans="1:14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</row>
    <row r="542" spans="1:14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</row>
    <row r="543" spans="1:14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</row>
    <row r="544" spans="1:14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</row>
    <row r="545" spans="1:14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</row>
    <row r="546" spans="1:14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</row>
    <row r="547" spans="1:14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</row>
    <row r="548" spans="1:14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</row>
    <row r="549" spans="1:14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</row>
    <row r="550" spans="1:14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</row>
    <row r="551" spans="1:14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</row>
    <row r="552" spans="1:14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</row>
    <row r="553" spans="1:14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</row>
    <row r="554" spans="1:14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</row>
    <row r="555" spans="1:14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</row>
    <row r="556" spans="1:14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</row>
    <row r="557" spans="1:14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</row>
    <row r="558" spans="1:14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</row>
    <row r="559" spans="1:14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</row>
    <row r="560" spans="1:14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</row>
    <row r="561" spans="1:14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</row>
    <row r="562" spans="1:14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</row>
    <row r="563" spans="1:14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</row>
    <row r="564" spans="1:14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</row>
    <row r="565" spans="1:14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</row>
    <row r="566" spans="1:14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</row>
    <row r="567" spans="1:14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</row>
    <row r="568" spans="1:14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</row>
    <row r="569" spans="1:14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</row>
    <row r="570" spans="1:14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</row>
    <row r="571" spans="1:14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</row>
    <row r="572" spans="1:14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</row>
    <row r="573" spans="1:14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</row>
    <row r="574" spans="1:14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</row>
    <row r="575" spans="1:14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</row>
    <row r="576" spans="1:14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</row>
    <row r="577" spans="1:14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</row>
    <row r="578" spans="1:14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</row>
    <row r="579" spans="1:14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</row>
    <row r="580" spans="1:14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</row>
  </sheetData>
  <mergeCells count="2">
    <mergeCell ref="A2:F2"/>
    <mergeCell ref="A62:F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I22"/>
  <sheetViews>
    <sheetView view="pageBreakPreview" zoomScale="80" zoomScaleNormal="100" zoomScaleSheetLayoutView="80" workbookViewId="0">
      <selection activeCell="F27" sqref="F27"/>
    </sheetView>
  </sheetViews>
  <sheetFormatPr defaultRowHeight="14.25"/>
  <cols>
    <col min="1" max="1" width="6.125" customWidth="1"/>
    <col min="2" max="2" width="25.5" customWidth="1"/>
    <col min="3" max="3" width="20.5" style="1" customWidth="1"/>
    <col min="4" max="4" width="10.125" style="1" customWidth="1"/>
    <col min="5" max="5" width="15.75" customWidth="1"/>
    <col min="6" max="6" width="21.875" customWidth="1"/>
    <col min="7" max="7" width="19.25" customWidth="1"/>
    <col min="8" max="8" width="27.875" customWidth="1"/>
    <col min="9" max="9" width="16.875" customWidth="1"/>
  </cols>
  <sheetData>
    <row r="4" spans="1:9" ht="15.75">
      <c r="A4" s="2"/>
    </row>
    <row r="5" spans="1:9" ht="15.75">
      <c r="A5" s="188"/>
      <c r="B5" s="188"/>
      <c r="C5" s="188"/>
      <c r="D5" s="188"/>
      <c r="E5" s="188"/>
      <c r="F5" s="188"/>
      <c r="G5" s="5"/>
      <c r="H5" s="5"/>
      <c r="I5" s="5"/>
    </row>
    <row r="7" spans="1:9" ht="77.25" customHeight="1">
      <c r="A7" s="187"/>
      <c r="B7" s="187"/>
      <c r="C7" s="187"/>
      <c r="D7" s="187"/>
      <c r="E7" s="187"/>
      <c r="F7" s="187"/>
      <c r="G7" s="4"/>
    </row>
    <row r="8" spans="1:9" ht="15" thickBot="1"/>
    <row r="9" spans="1:9" ht="24.95" customHeight="1" thickBot="1">
      <c r="A9" s="189" t="s">
        <v>109</v>
      </c>
      <c r="B9" s="190"/>
      <c r="C9" s="190"/>
      <c r="D9" s="190"/>
      <c r="E9" s="190"/>
      <c r="F9" s="191"/>
      <c r="G9" s="3"/>
    </row>
    <row r="10" spans="1:9" ht="24.95" customHeight="1" thickBot="1">
      <c r="A10" s="54" t="s">
        <v>105</v>
      </c>
      <c r="B10" s="55" t="s">
        <v>106</v>
      </c>
      <c r="C10" s="55" t="s">
        <v>118</v>
      </c>
      <c r="D10" s="55" t="s">
        <v>153</v>
      </c>
      <c r="E10" s="55" t="s">
        <v>120</v>
      </c>
      <c r="F10" s="55" t="s">
        <v>101</v>
      </c>
    </row>
    <row r="11" spans="1:9" ht="24.95" customHeight="1">
      <c r="A11" s="56">
        <v>1</v>
      </c>
      <c r="B11" s="57" t="s">
        <v>111</v>
      </c>
      <c r="C11" s="59" t="s">
        <v>119</v>
      </c>
      <c r="D11" s="56">
        <v>3</v>
      </c>
      <c r="E11" s="47">
        <f>ASG!D124</f>
        <v>0</v>
      </c>
      <c r="F11" s="47">
        <f>ROUND((D11*E11),2)</f>
        <v>0</v>
      </c>
      <c r="H11" s="39"/>
      <c r="I11" s="1"/>
    </row>
    <row r="12" spans="1:9" s="1" customFormat="1" ht="24.95" customHeight="1">
      <c r="A12" s="192">
        <v>2</v>
      </c>
      <c r="B12" s="194" t="s">
        <v>128</v>
      </c>
      <c r="C12" s="65" t="s">
        <v>148</v>
      </c>
      <c r="D12" s="56">
        <v>1</v>
      </c>
      <c r="E12" s="48">
        <f>PORTEIRO!D253</f>
        <v>0</v>
      </c>
      <c r="F12" s="47">
        <f t="shared" ref="F12:F13" si="0">ROUND((D12*E12),2)</f>
        <v>0</v>
      </c>
      <c r="G12" s="39"/>
      <c r="H12" s="39"/>
    </row>
    <row r="13" spans="1:9" s="1" customFormat="1" ht="24.95" customHeight="1">
      <c r="A13" s="193"/>
      <c r="B13" s="195"/>
      <c r="C13" s="65" t="s">
        <v>149</v>
      </c>
      <c r="D13" s="56">
        <v>1</v>
      </c>
      <c r="E13" s="48">
        <f>PORTEIRO!D124</f>
        <v>0</v>
      </c>
      <c r="F13" s="47">
        <f t="shared" si="0"/>
        <v>0</v>
      </c>
      <c r="G13" s="39"/>
      <c r="H13" s="39"/>
    </row>
    <row r="14" spans="1:9" s="1" customFormat="1" ht="24.95" customHeight="1" thickBot="1">
      <c r="A14" s="56">
        <v>3</v>
      </c>
      <c r="B14" s="64" t="s">
        <v>132</v>
      </c>
      <c r="C14" s="65" t="s">
        <v>119</v>
      </c>
      <c r="D14" s="56">
        <v>1</v>
      </c>
      <c r="E14" s="48">
        <f>ENCARREGADO!D123</f>
        <v>0</v>
      </c>
      <c r="F14" s="47">
        <f>ROUND((D14*E14),2)</f>
        <v>0</v>
      </c>
      <c r="H14" s="39"/>
    </row>
    <row r="15" spans="1:9" ht="20.100000000000001" customHeight="1" thickBot="1">
      <c r="A15" s="181" t="s">
        <v>121</v>
      </c>
      <c r="B15" s="182"/>
      <c r="C15" s="182"/>
      <c r="D15" s="182"/>
      <c r="E15" s="183"/>
      <c r="F15" s="58">
        <f>SUM(F11:F14)</f>
        <v>0</v>
      </c>
      <c r="G15" s="49"/>
      <c r="H15" s="39">
        <f>F15-37965.11</f>
        <v>-37965.11</v>
      </c>
      <c r="I15" s="49"/>
    </row>
    <row r="16" spans="1:9" ht="20.100000000000001" customHeight="1" thickBot="1">
      <c r="A16" s="184" t="s">
        <v>154</v>
      </c>
      <c r="B16" s="185"/>
      <c r="C16" s="185"/>
      <c r="D16" s="185"/>
      <c r="E16" s="185"/>
      <c r="F16" s="186"/>
      <c r="H16" s="53"/>
    </row>
    <row r="17" spans="1:9" ht="20.100000000000001" customHeight="1" thickBot="1">
      <c r="A17" s="181" t="s">
        <v>152</v>
      </c>
      <c r="B17" s="182"/>
      <c r="C17" s="182"/>
      <c r="D17" s="182"/>
      <c r="E17" s="183"/>
      <c r="F17" s="58">
        <f>F15*12</f>
        <v>0</v>
      </c>
      <c r="I17" s="53"/>
    </row>
    <row r="18" spans="1:9" ht="20.100000000000001" customHeight="1" thickBot="1">
      <c r="A18" s="184" t="s">
        <v>155</v>
      </c>
      <c r="B18" s="185"/>
      <c r="C18" s="185"/>
      <c r="D18" s="185"/>
      <c r="E18" s="185"/>
      <c r="F18" s="186"/>
      <c r="I18" s="53"/>
    </row>
    <row r="19" spans="1:9">
      <c r="F19" s="39"/>
      <c r="H19" s="39"/>
      <c r="I19" s="53"/>
    </row>
    <row r="20" spans="1:9">
      <c r="I20" s="53"/>
    </row>
    <row r="21" spans="1:9">
      <c r="I21" s="53"/>
    </row>
    <row r="22" spans="1:9">
      <c r="I22" s="53"/>
    </row>
  </sheetData>
  <mergeCells count="9">
    <mergeCell ref="A17:E17"/>
    <mergeCell ref="A18:F18"/>
    <mergeCell ref="A16:F16"/>
    <mergeCell ref="A7:F7"/>
    <mergeCell ref="A5:F5"/>
    <mergeCell ref="A9:F9"/>
    <mergeCell ref="A15:E15"/>
    <mergeCell ref="A12:A13"/>
    <mergeCell ref="B12:B13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G4" sqref="G4"/>
    </sheetView>
  </sheetViews>
  <sheetFormatPr defaultRowHeight="14.25"/>
  <cols>
    <col min="1" max="1" width="6.25" bestFit="1" customWidth="1"/>
    <col min="2" max="2" width="19.375" bestFit="1" customWidth="1"/>
    <col min="3" max="3" width="15.125" bestFit="1" customWidth="1"/>
    <col min="4" max="4" width="13.125" customWidth="1"/>
    <col min="5" max="5" width="9.875" bestFit="1" customWidth="1"/>
    <col min="6" max="6" width="12.75" bestFit="1" customWidth="1"/>
    <col min="7" max="7" width="11.375" bestFit="1" customWidth="1"/>
    <col min="8" max="8" width="12" bestFit="1" customWidth="1"/>
    <col min="9" max="63" width="8" customWidth="1"/>
    <col min="64" max="64" width="9" customWidth="1"/>
  </cols>
  <sheetData>
    <row r="1" spans="1:8" s="1" customFormat="1" ht="15">
      <c r="A1" s="200" t="s">
        <v>156</v>
      </c>
      <c r="B1" s="200"/>
      <c r="C1" s="200"/>
      <c r="D1" s="200"/>
      <c r="E1" s="200"/>
      <c r="F1" s="200"/>
      <c r="G1" s="200"/>
      <c r="H1" s="200"/>
    </row>
    <row r="2" spans="1:8" s="1" customFormat="1" ht="15">
      <c r="A2" s="201" t="s">
        <v>157</v>
      </c>
      <c r="B2" s="201"/>
      <c r="C2" s="201"/>
      <c r="D2" s="201"/>
      <c r="E2" s="201"/>
      <c r="F2" s="201"/>
      <c r="G2" s="201"/>
      <c r="H2" s="201"/>
    </row>
    <row r="3" spans="1:8" s="1" customFormat="1" ht="51.75" customHeight="1">
      <c r="A3" s="76" t="s">
        <v>158</v>
      </c>
      <c r="B3" s="76" t="s">
        <v>159</v>
      </c>
      <c r="C3" s="76" t="s">
        <v>160</v>
      </c>
      <c r="D3" s="76" t="s">
        <v>161</v>
      </c>
      <c r="E3" s="76" t="s">
        <v>162</v>
      </c>
      <c r="F3" s="76" t="s">
        <v>163</v>
      </c>
      <c r="G3" s="76" t="s">
        <v>164</v>
      </c>
      <c r="H3" s="76" t="s">
        <v>165</v>
      </c>
    </row>
    <row r="4" spans="1:8" s="1" customFormat="1" ht="30">
      <c r="A4" s="77">
        <v>1</v>
      </c>
      <c r="B4" s="78" t="s">
        <v>166</v>
      </c>
      <c r="C4" s="77" t="s">
        <v>133</v>
      </c>
      <c r="D4" s="77">
        <v>1</v>
      </c>
      <c r="E4" s="79"/>
      <c r="F4" s="80"/>
      <c r="G4" s="81"/>
      <c r="H4" s="81">
        <f>G4*12</f>
        <v>0</v>
      </c>
    </row>
    <row r="5" spans="1:8" s="1" customFormat="1" ht="15">
      <c r="A5" s="77">
        <v>2</v>
      </c>
      <c r="B5" s="78" t="s">
        <v>167</v>
      </c>
      <c r="C5" s="77" t="s">
        <v>112</v>
      </c>
      <c r="D5" s="77">
        <v>3</v>
      </c>
      <c r="E5" s="82"/>
      <c r="F5" s="80"/>
      <c r="G5" s="81">
        <f>D5*F5</f>
        <v>0</v>
      </c>
      <c r="H5" s="81">
        <f>G5*12</f>
        <v>0</v>
      </c>
    </row>
    <row r="6" spans="1:8" s="1" customFormat="1" ht="15">
      <c r="A6" s="77">
        <v>3</v>
      </c>
      <c r="B6" s="78" t="s">
        <v>168</v>
      </c>
      <c r="C6" s="77" t="s">
        <v>129</v>
      </c>
      <c r="D6" s="83">
        <v>1</v>
      </c>
      <c r="E6" s="82"/>
      <c r="F6" s="80"/>
      <c r="G6" s="81">
        <f>D6*F6</f>
        <v>0</v>
      </c>
      <c r="H6" s="81">
        <f>G6*12</f>
        <v>0</v>
      </c>
    </row>
    <row r="7" spans="1:8" s="1" customFormat="1" ht="15">
      <c r="A7" s="77">
        <v>4</v>
      </c>
      <c r="B7" s="78" t="s">
        <v>169</v>
      </c>
      <c r="C7" s="77" t="s">
        <v>353</v>
      </c>
      <c r="D7" s="83">
        <v>1</v>
      </c>
      <c r="E7" s="82"/>
      <c r="F7" s="80"/>
      <c r="G7" s="81">
        <f>D7*F7</f>
        <v>0</v>
      </c>
      <c r="H7" s="81">
        <f>G7*12</f>
        <v>0</v>
      </c>
    </row>
    <row r="8" spans="1:8" s="1" customFormat="1" ht="15">
      <c r="A8" s="202" t="s">
        <v>170</v>
      </c>
      <c r="B8" s="202"/>
      <c r="C8" s="202"/>
      <c r="D8" s="202"/>
      <c r="E8" s="202"/>
      <c r="F8" s="202"/>
      <c r="G8" s="84">
        <f>SUM(G4:G7)</f>
        <v>0</v>
      </c>
      <c r="H8" s="84">
        <f>SUM(H4:H7)</f>
        <v>0</v>
      </c>
    </row>
    <row r="9" spans="1:8" s="1" customFormat="1" ht="15">
      <c r="A9" s="85"/>
      <c r="B9" s="85"/>
      <c r="C9" s="85"/>
      <c r="D9" s="85"/>
      <c r="E9" s="85"/>
      <c r="F9" s="85"/>
      <c r="G9" s="85"/>
      <c r="H9" s="86"/>
    </row>
    <row r="10" spans="1:8" s="1" customFormat="1" ht="30">
      <c r="A10" s="203" t="s">
        <v>171</v>
      </c>
      <c r="B10" s="203"/>
      <c r="C10" s="203"/>
      <c r="D10" s="203"/>
      <c r="E10" s="203"/>
      <c r="F10" s="203"/>
      <c r="G10" s="87" t="s">
        <v>164</v>
      </c>
      <c r="H10" s="88" t="s">
        <v>165</v>
      </c>
    </row>
    <row r="11" spans="1:8" s="1" customFormat="1" ht="15">
      <c r="A11" s="196" t="s">
        <v>172</v>
      </c>
      <c r="B11" s="196"/>
      <c r="C11" s="196"/>
      <c r="D11" s="196"/>
      <c r="E11" s="196"/>
      <c r="F11" s="196"/>
      <c r="G11" s="89">
        <v>0</v>
      </c>
      <c r="H11" s="89">
        <v>0</v>
      </c>
    </row>
    <row r="12" spans="1:8" s="1" customFormat="1" ht="15">
      <c r="A12" s="196" t="s">
        <v>173</v>
      </c>
      <c r="B12" s="196"/>
      <c r="C12" s="196"/>
      <c r="D12" s="196"/>
      <c r="E12" s="196"/>
      <c r="F12" s="196"/>
      <c r="G12" s="89">
        <v>0</v>
      </c>
      <c r="H12" s="89">
        <v>0</v>
      </c>
    </row>
    <row r="13" spans="1:8" s="1" customFormat="1" ht="15">
      <c r="A13" s="196" t="s">
        <v>174</v>
      </c>
      <c r="B13" s="196"/>
      <c r="C13" s="196"/>
      <c r="D13" s="196"/>
      <c r="E13" s="196"/>
      <c r="F13" s="196"/>
      <c r="G13" s="89">
        <v>0</v>
      </c>
      <c r="H13" s="89" t="s">
        <v>236</v>
      </c>
    </row>
    <row r="14" spans="1:8" s="1" customFormat="1" ht="15">
      <c r="A14" s="197" t="s">
        <v>175</v>
      </c>
      <c r="B14" s="198"/>
      <c r="C14" s="198"/>
      <c r="D14" s="198"/>
      <c r="E14" s="198"/>
      <c r="F14" s="198"/>
      <c r="G14" s="199"/>
      <c r="H14" s="90">
        <f>SUM(H11:H13)</f>
        <v>0</v>
      </c>
    </row>
  </sheetData>
  <mergeCells count="8">
    <mergeCell ref="A13:F13"/>
    <mergeCell ref="A14:G14"/>
    <mergeCell ref="A1:H1"/>
    <mergeCell ref="A2:H2"/>
    <mergeCell ref="A8:F8"/>
    <mergeCell ref="A10:F10"/>
    <mergeCell ref="A11:F11"/>
    <mergeCell ref="A12:F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ASG</vt:lpstr>
      <vt:lpstr>COPEIRA</vt:lpstr>
      <vt:lpstr>RECEPCIONISTA</vt:lpstr>
      <vt:lpstr>PORTEIRO</vt:lpstr>
      <vt:lpstr>ENCARREGADO</vt:lpstr>
      <vt:lpstr>MATERIAIS</vt:lpstr>
      <vt:lpstr>RESUMO</vt:lpstr>
      <vt:lpstr>PLANILHA_RESUMO</vt:lpstr>
      <vt:lpstr>Plan1</vt:lpstr>
      <vt:lpstr>ÁREA_M²</vt:lpstr>
      <vt:lpstr>JARDINEIRO</vt:lpstr>
      <vt:lpstr>portaria diurno</vt:lpstr>
      <vt:lpstr>portaria noturno</vt:lpstr>
      <vt:lpstr>Plan5</vt:lpstr>
      <vt:lpstr>ASG!Area_de_impressao</vt:lpstr>
      <vt:lpstr>COPEIRA!Area_de_impressao</vt:lpstr>
      <vt:lpstr>ENCARREGADO!Area_de_impressao</vt:lpstr>
      <vt:lpstr>PORTEIRO!Area_de_impressao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Ramos</dc:creator>
  <cp:lastModifiedBy>Rosicleide Vitor</cp:lastModifiedBy>
  <cp:lastPrinted>2022-04-11T16:37:15Z</cp:lastPrinted>
  <dcterms:created xsi:type="dcterms:W3CDTF">2020-07-13T14:58:27Z</dcterms:created>
  <dcterms:modified xsi:type="dcterms:W3CDTF">2022-05-18T13:30:48Z</dcterms:modified>
</cp:coreProperties>
</file>